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drawings/drawing2.xml" ContentType="application/vnd.openxmlformats-officedocument.drawing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drawings/drawing3.xml" ContentType="application/vnd.openxmlformats-officedocument.drawing+xml"/>
  <Override PartName="/xl/charts/chart5.xml" ContentType="application/vnd.openxmlformats-officedocument.drawingml.chart+xml"/>
  <Override PartName="/xl/charts/style5.xml" ContentType="application/vnd.ms-office.chartstyle+xml"/>
  <Override PartName="/xl/charts/colors5.xml" ContentType="application/vnd.ms-office.chartcolorstyle+xml"/>
  <Override PartName="/xl/charts/chart6.xml" ContentType="application/vnd.openxmlformats-officedocument.drawingml.chart+xml"/>
  <Override PartName="/xl/charts/style6.xml" ContentType="application/vnd.ms-office.chartstyle+xml"/>
  <Override PartName="/xl/charts/colors6.xml" ContentType="application/vnd.ms-office.chartcolorstyle+xml"/>
  <Override PartName="/xl/charts/chart7.xml" ContentType="application/vnd.openxmlformats-officedocument.drawingml.chart+xml"/>
  <Override PartName="/xl/charts/style7.xml" ContentType="application/vnd.ms-office.chartstyle+xml"/>
  <Override PartName="/xl/charts/colors7.xml" ContentType="application/vnd.ms-office.chartcolorstyle+xml"/>
  <Override PartName="/xl/drawings/drawing4.xml" ContentType="application/vnd.openxmlformats-officedocument.drawing+xml"/>
  <Override PartName="/xl/charts/chart8.xml" ContentType="application/vnd.openxmlformats-officedocument.drawingml.chart+xml"/>
  <Override PartName="/xl/charts/style8.xml" ContentType="application/vnd.ms-office.chartstyle+xml"/>
  <Override PartName="/xl/charts/colors8.xml" ContentType="application/vnd.ms-office.chartcolorstyle+xml"/>
  <Override PartName="/xl/drawings/drawing5.xml" ContentType="application/vnd.openxmlformats-officedocument.drawing+xml"/>
  <Override PartName="/xl/charts/chart9.xml" ContentType="application/vnd.openxmlformats-officedocument.drawingml.chart+xml"/>
  <Override PartName="/xl/charts/style9.xml" ContentType="application/vnd.ms-office.chartstyle+xml"/>
  <Override PartName="/xl/charts/colors9.xml" ContentType="application/vnd.ms-office.chartcolorstyle+xml"/>
  <Override PartName="/xl/drawings/drawing6.xml" ContentType="application/vnd.openxmlformats-officedocument.drawing+xml"/>
  <Override PartName="/xl/charts/chart10.xml" ContentType="application/vnd.openxmlformats-officedocument.drawingml.chart+xml"/>
  <Override PartName="/xl/charts/style10.xml" ContentType="application/vnd.ms-office.chartstyle+xml"/>
  <Override PartName="/xl/charts/colors10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1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tilisateur\Documents\Session 5\Jeux du commerce\"/>
    </mc:Choice>
  </mc:AlternateContent>
  <xr:revisionPtr revIDLastSave="0" documentId="8_{FC556396-9B30-485A-8930-EB7E5EA25214}" xr6:coauthVersionLast="40" xr6:coauthVersionMax="40" xr10:uidLastSave="{00000000-0000-0000-0000-000000000000}"/>
  <bookViews>
    <workbookView xWindow="0" yWindow="0" windowWidth="12675" windowHeight="9375" firstSheet="3" activeTab="4" xr2:uid="{4B4ABD81-4EDC-42C3-B3FF-31C7C2861F6A}"/>
  </bookViews>
  <sheets>
    <sheet name="3 Financial statements" sheetId="1" r:id="rId1"/>
    <sheet name="Ratio" sheetId="4" r:id="rId2"/>
    <sheet name="WACC" sheetId="3" r:id="rId3"/>
    <sheet name="DCF model" sheetId="2" r:id="rId4"/>
    <sheet name="DCF model (Sans EF préc.)" sheetId="8" r:id="rId5"/>
    <sheet name="Debt (Sans EF préc.)" sheetId="9" r:id="rId6"/>
    <sheet name="Comparable trans." sheetId="5" r:id="rId7"/>
    <sheet name="Analyst views" sheetId="6" r:id="rId8"/>
    <sheet name="Sommaire" sheetId="7" r:id="rId9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B7" i="3" l="1"/>
  <c r="B8" i="3"/>
  <c r="B15" i="3"/>
  <c r="B40" i="8" l="1"/>
  <c r="D4" i="8"/>
  <c r="E4" i="8" s="1"/>
  <c r="F4" i="8" s="1"/>
  <c r="G4" i="8" s="1"/>
  <c r="H4" i="8" s="1"/>
  <c r="I4" i="8" s="1"/>
  <c r="J4" i="8" s="1"/>
  <c r="K4" i="8" s="1"/>
  <c r="L4" i="8" s="1"/>
  <c r="D5" i="9"/>
  <c r="B2" i="9"/>
  <c r="C9" i="9" s="1"/>
  <c r="B5" i="9"/>
  <c r="C20" i="8"/>
  <c r="D20" i="8"/>
  <c r="E20" i="8"/>
  <c r="F20" i="8"/>
  <c r="G20" i="8"/>
  <c r="H20" i="8"/>
  <c r="I20" i="8"/>
  <c r="J20" i="8"/>
  <c r="K20" i="8"/>
  <c r="L20" i="8"/>
  <c r="D19" i="8"/>
  <c r="E19" i="8"/>
  <c r="F19" i="8"/>
  <c r="G19" i="8"/>
  <c r="H19" i="8"/>
  <c r="I19" i="8"/>
  <c r="J19" i="8"/>
  <c r="K19" i="8"/>
  <c r="L19" i="8"/>
  <c r="C19" i="8"/>
  <c r="C14" i="8"/>
  <c r="C23" i="8" s="1"/>
  <c r="C54" i="8" s="1"/>
  <c r="B37" i="8"/>
  <c r="B35" i="8"/>
  <c r="C5" i="9" l="1"/>
  <c r="E5" i="9" s="1"/>
  <c r="F5" i="9" s="1"/>
  <c r="C7" i="9"/>
  <c r="C8" i="9"/>
  <c r="C14" i="9"/>
  <c r="C6" i="9"/>
  <c r="C13" i="9"/>
  <c r="C12" i="9"/>
  <c r="C11" i="9"/>
  <c r="C10" i="9"/>
  <c r="C10" i="8"/>
  <c r="C55" i="8" s="1"/>
  <c r="C11" i="8"/>
  <c r="C56" i="8" s="1"/>
  <c r="C35" i="8"/>
  <c r="D14" i="8"/>
  <c r="C15" i="8"/>
  <c r="C16" i="8" s="1"/>
  <c r="B6" i="9" l="1"/>
  <c r="D23" i="8"/>
  <c r="D54" i="8" s="1"/>
  <c r="D11" i="8"/>
  <c r="D56" i="8" s="1"/>
  <c r="D10" i="8"/>
  <c r="D55" i="8" s="1"/>
  <c r="C17" i="8"/>
  <c r="C21" i="8"/>
  <c r="E14" i="8"/>
  <c r="D15" i="8"/>
  <c r="D16" i="8" s="1"/>
  <c r="D35" i="8"/>
  <c r="D6" i="9" l="1"/>
  <c r="E23" i="8"/>
  <c r="E54" i="8" s="1"/>
  <c r="E11" i="8"/>
  <c r="E56" i="8" s="1"/>
  <c r="E10" i="8"/>
  <c r="E55" i="8" s="1"/>
  <c r="D17" i="8"/>
  <c r="D21" i="8"/>
  <c r="C37" i="8"/>
  <c r="L73" i="8" s="1"/>
  <c r="C24" i="8"/>
  <c r="C22" i="8"/>
  <c r="C39" i="8" s="1"/>
  <c r="E15" i="8"/>
  <c r="E16" i="8" s="1"/>
  <c r="F14" i="8"/>
  <c r="E35" i="8"/>
  <c r="E6" i="9" l="1"/>
  <c r="F6" i="9" s="1"/>
  <c r="C53" i="8"/>
  <c r="F23" i="8"/>
  <c r="F54" i="8" s="1"/>
  <c r="F10" i="8"/>
  <c r="F55" i="8" s="1"/>
  <c r="F11" i="8"/>
  <c r="F56" i="8" s="1"/>
  <c r="D24" i="8"/>
  <c r="D37" i="8"/>
  <c r="D22" i="8"/>
  <c r="D39" i="8" s="1"/>
  <c r="E17" i="8"/>
  <c r="E21" i="8"/>
  <c r="F15" i="8"/>
  <c r="F16" i="8" s="1"/>
  <c r="G14" i="8"/>
  <c r="F35" i="8"/>
  <c r="B7" i="9" l="1"/>
  <c r="D7" i="9" s="1"/>
  <c r="G23" i="8"/>
  <c r="G54" i="8" s="1"/>
  <c r="G11" i="8"/>
  <c r="G56" i="8" s="1"/>
  <c r="G10" i="8"/>
  <c r="G55" i="8" s="1"/>
  <c r="D53" i="8"/>
  <c r="E24" i="8"/>
  <c r="E37" i="8"/>
  <c r="E22" i="8"/>
  <c r="E39" i="8" s="1"/>
  <c r="F17" i="8"/>
  <c r="F21" i="8"/>
  <c r="G15" i="8"/>
  <c r="G16" i="8" s="1"/>
  <c r="H14" i="8"/>
  <c r="G35" i="8"/>
  <c r="E7" i="9" l="1"/>
  <c r="F7" i="9" s="1"/>
  <c r="E53" i="8"/>
  <c r="H23" i="8"/>
  <c r="H54" i="8" s="1"/>
  <c r="H11" i="8"/>
  <c r="H56" i="8" s="1"/>
  <c r="H10" i="8"/>
  <c r="H55" i="8" s="1"/>
  <c r="G17" i="8"/>
  <c r="G21" i="8"/>
  <c r="F24" i="8"/>
  <c r="F37" i="8"/>
  <c r="F22" i="8"/>
  <c r="F39" i="8" s="1"/>
  <c r="H15" i="8"/>
  <c r="H16" i="8" s="1"/>
  <c r="I14" i="8"/>
  <c r="H35" i="8"/>
  <c r="B8" i="9" l="1"/>
  <c r="D8" i="9" s="1"/>
  <c r="I23" i="8"/>
  <c r="I54" i="8" s="1"/>
  <c r="I11" i="8"/>
  <c r="I56" i="8" s="1"/>
  <c r="I10" i="8"/>
  <c r="I55" i="8" s="1"/>
  <c r="F53" i="8"/>
  <c r="G24" i="8"/>
  <c r="G37" i="8"/>
  <c r="G22" i="8"/>
  <c r="G39" i="8" s="1"/>
  <c r="H17" i="8"/>
  <c r="H21" i="8"/>
  <c r="I15" i="8"/>
  <c r="I16" i="8" s="1"/>
  <c r="J14" i="8"/>
  <c r="I35" i="8"/>
  <c r="E8" i="9" l="1"/>
  <c r="F8" i="9" s="1"/>
  <c r="G53" i="8"/>
  <c r="J23" i="8"/>
  <c r="J54" i="8" s="1"/>
  <c r="J11" i="8"/>
  <c r="J56" i="8" s="1"/>
  <c r="J10" i="8"/>
  <c r="J55" i="8" s="1"/>
  <c r="I17" i="8"/>
  <c r="I21" i="8"/>
  <c r="H37" i="8"/>
  <c r="H24" i="8"/>
  <c r="H22" i="8"/>
  <c r="H39" i="8" s="1"/>
  <c r="J15" i="8"/>
  <c r="J16" i="8" s="1"/>
  <c r="J35" i="8"/>
  <c r="K14" i="8"/>
  <c r="B9" i="9" l="1"/>
  <c r="D9" i="9" s="1"/>
  <c r="H53" i="8"/>
  <c r="K23" i="8"/>
  <c r="K54" i="8" s="1"/>
  <c r="K11" i="8"/>
  <c r="K56" i="8" s="1"/>
  <c r="K10" i="8"/>
  <c r="K55" i="8" s="1"/>
  <c r="I24" i="8"/>
  <c r="I37" i="8"/>
  <c r="I22" i="8"/>
  <c r="I39" i="8" s="1"/>
  <c r="J17" i="8"/>
  <c r="J21" i="8"/>
  <c r="K15" i="8"/>
  <c r="K16" i="8" s="1"/>
  <c r="L14" i="8"/>
  <c r="K35" i="8"/>
  <c r="E9" i="9" l="1"/>
  <c r="F9" i="9" s="1"/>
  <c r="I53" i="8"/>
  <c r="L23" i="8"/>
  <c r="L54" i="8" s="1"/>
  <c r="L11" i="8"/>
  <c r="L56" i="8" s="1"/>
  <c r="L10" i="8"/>
  <c r="L55" i="8" s="1"/>
  <c r="J24" i="8"/>
  <c r="J37" i="8"/>
  <c r="J22" i="8"/>
  <c r="J39" i="8" s="1"/>
  <c r="K17" i="8"/>
  <c r="K21" i="8"/>
  <c r="L15" i="8"/>
  <c r="L16" i="8" s="1"/>
  <c r="L35" i="8"/>
  <c r="B10" i="9" l="1"/>
  <c r="J53" i="8"/>
  <c r="L17" i="8"/>
  <c r="L21" i="8"/>
  <c r="K24" i="8"/>
  <c r="K37" i="8"/>
  <c r="K22" i="8"/>
  <c r="K39" i="8" s="1"/>
  <c r="D10" i="9" l="1"/>
  <c r="K53" i="8"/>
  <c r="L24" i="8"/>
  <c r="L37" i="8"/>
  <c r="L22" i="8"/>
  <c r="L39" i="8" s="1"/>
  <c r="E10" i="9" l="1"/>
  <c r="F10" i="9" s="1"/>
  <c r="B11" i="9" s="1"/>
  <c r="D11" i="9" s="1"/>
  <c r="E11" i="9" s="1"/>
  <c r="F11" i="9" s="1"/>
  <c r="B12" i="9" s="1"/>
  <c r="L53" i="8"/>
  <c r="D12" i="9" l="1"/>
  <c r="E12" i="9" s="1"/>
  <c r="F12" i="9"/>
  <c r="B13" i="9" s="1"/>
  <c r="D13" i="9" s="1"/>
  <c r="E13" i="9" s="1"/>
  <c r="F13" i="9" s="1"/>
  <c r="B14" i="9" s="1"/>
  <c r="AA115" i="8"/>
  <c r="Z115" i="8"/>
  <c r="Y115" i="8"/>
  <c r="X115" i="8"/>
  <c r="W115" i="8"/>
  <c r="AI103" i="8"/>
  <c r="AH103" i="8"/>
  <c r="AG103" i="8"/>
  <c r="AF103" i="8"/>
  <c r="AE103" i="8"/>
  <c r="A87" i="8"/>
  <c r="C52" i="8"/>
  <c r="C88" i="8"/>
  <c r="D14" i="9" l="1"/>
  <c r="D57" i="8"/>
  <c r="H57" i="8"/>
  <c r="L57" i="8"/>
  <c r="L65" i="8" s="1"/>
  <c r="C36" i="8"/>
  <c r="G36" i="8"/>
  <c r="K36" i="8"/>
  <c r="E57" i="8"/>
  <c r="I57" i="8"/>
  <c r="F79" i="8"/>
  <c r="D36" i="8"/>
  <c r="E36" i="8"/>
  <c r="I36" i="8"/>
  <c r="F57" i="8"/>
  <c r="J57" i="8"/>
  <c r="H36" i="8"/>
  <c r="L36" i="8"/>
  <c r="F36" i="8"/>
  <c r="J36" i="8"/>
  <c r="C57" i="8"/>
  <c r="G57" i="8"/>
  <c r="K57" i="8"/>
  <c r="D38" i="8"/>
  <c r="E38" i="8"/>
  <c r="I38" i="8"/>
  <c r="B68" i="8"/>
  <c r="B70" i="8" s="1"/>
  <c r="H38" i="8"/>
  <c r="F38" i="8"/>
  <c r="J38" i="8"/>
  <c r="G66" i="8"/>
  <c r="L38" i="8"/>
  <c r="G38" i="8"/>
  <c r="K38" i="8"/>
  <c r="B13" i="7"/>
  <c r="D13" i="7"/>
  <c r="A14" i="7"/>
  <c r="A15" i="7"/>
  <c r="B8" i="7"/>
  <c r="AF72" i="2"/>
  <c r="AG72" i="2"/>
  <c r="AH72" i="2"/>
  <c r="AI72" i="2"/>
  <c r="AE72" i="2"/>
  <c r="X84" i="2"/>
  <c r="Y84" i="2"/>
  <c r="Z84" i="2"/>
  <c r="AA84" i="2"/>
  <c r="W84" i="2"/>
  <c r="D3" i="7"/>
  <c r="H3" i="7" s="1"/>
  <c r="A7" i="7"/>
  <c r="A18" i="7" s="1"/>
  <c r="A6" i="7"/>
  <c r="A17" i="7" s="1"/>
  <c r="A5" i="7"/>
  <c r="A16" i="7" s="1"/>
  <c r="I7" i="6"/>
  <c r="J7" i="6"/>
  <c r="K7" i="6"/>
  <c r="I8" i="6"/>
  <c r="V22" i="5"/>
  <c r="J8" i="6" s="1"/>
  <c r="W22" i="5"/>
  <c r="K8" i="6" s="1"/>
  <c r="U22" i="5"/>
  <c r="U32" i="5" s="1"/>
  <c r="U41" i="5"/>
  <c r="V41" i="5"/>
  <c r="W41" i="5"/>
  <c r="V42" i="5"/>
  <c r="U31" i="5"/>
  <c r="V31" i="5"/>
  <c r="W31" i="5"/>
  <c r="E3" i="7"/>
  <c r="I3" i="7" s="1"/>
  <c r="C3" i="7"/>
  <c r="G3" i="7" s="1"/>
  <c r="G37" i="2"/>
  <c r="A16" i="6"/>
  <c r="A17" i="6"/>
  <c r="A18" i="6"/>
  <c r="A19" i="6"/>
  <c r="A15" i="6"/>
  <c r="C11" i="6"/>
  <c r="D11" i="6"/>
  <c r="E11" i="6"/>
  <c r="K5" i="6" s="1"/>
  <c r="B11" i="6"/>
  <c r="C10" i="6"/>
  <c r="D10" i="6"/>
  <c r="J5" i="6" s="1"/>
  <c r="E10" i="6"/>
  <c r="B10" i="6"/>
  <c r="C9" i="6"/>
  <c r="D9" i="6"/>
  <c r="I5" i="6" s="1"/>
  <c r="E9" i="6"/>
  <c r="B9" i="6"/>
  <c r="Z22" i="5"/>
  <c r="Z21" i="5"/>
  <c r="Z20" i="5"/>
  <c r="U37" i="5"/>
  <c r="U27" i="5"/>
  <c r="U17" i="5"/>
  <c r="AB12" i="5"/>
  <c r="AC12" i="5"/>
  <c r="AD12" i="5"/>
  <c r="AF12" i="5"/>
  <c r="AB13" i="5"/>
  <c r="AC13" i="5"/>
  <c r="AD13" i="5"/>
  <c r="AF13" i="5"/>
  <c r="AB14" i="5"/>
  <c r="AC14" i="5"/>
  <c r="AD14" i="5"/>
  <c r="AF14" i="5"/>
  <c r="AB15" i="5"/>
  <c r="AC15" i="5"/>
  <c r="AD15" i="5"/>
  <c r="AF15" i="5"/>
  <c r="Z12" i="5"/>
  <c r="AA12" i="5"/>
  <c r="Z13" i="5"/>
  <c r="AA13" i="5"/>
  <c r="Z14" i="5"/>
  <c r="AA14" i="5"/>
  <c r="Z15" i="5"/>
  <c r="AA15" i="5"/>
  <c r="Y15" i="5"/>
  <c r="Y14" i="5"/>
  <c r="Y13" i="5"/>
  <c r="Y12" i="5"/>
  <c r="H2" i="4"/>
  <c r="I2" i="4" s="1"/>
  <c r="J2" i="4" s="1"/>
  <c r="K2" i="4" s="1"/>
  <c r="L2" i="4" s="1"/>
  <c r="M2" i="4" s="1"/>
  <c r="N2" i="4" s="1"/>
  <c r="O2" i="4" s="1"/>
  <c r="P2" i="4" s="1"/>
  <c r="C1" i="4"/>
  <c r="D1" i="4" s="1"/>
  <c r="E1" i="4" s="1"/>
  <c r="F1" i="4" s="1"/>
  <c r="G1" i="4" s="1"/>
  <c r="H1" i="4" s="1"/>
  <c r="I1" i="4" s="1"/>
  <c r="J1" i="4" s="1"/>
  <c r="K1" i="4" s="1"/>
  <c r="L1" i="4" s="1"/>
  <c r="M1" i="4" s="1"/>
  <c r="N1" i="4" s="1"/>
  <c r="O1" i="4" s="1"/>
  <c r="P1" i="4" s="1"/>
  <c r="V32" i="5" l="1"/>
  <c r="W42" i="5"/>
  <c r="U42" i="5"/>
  <c r="E14" i="9"/>
  <c r="F14" i="9" s="1"/>
  <c r="C20" i="9" s="1" a="1"/>
  <c r="C23" i="9" a="1"/>
  <c r="L67" i="8"/>
  <c r="D14" i="7"/>
  <c r="B14" i="7"/>
  <c r="W32" i="5"/>
  <c r="B5" i="3"/>
  <c r="B9" i="3"/>
  <c r="C23" i="9" l="1"/>
  <c r="C25" i="8" s="1"/>
  <c r="C26" i="8" s="1"/>
  <c r="C27" i="8" s="1"/>
  <c r="C28" i="8" s="1"/>
  <c r="C29" i="8" s="1"/>
  <c r="J23" i="9"/>
  <c r="J25" i="8" s="1"/>
  <c r="J26" i="8" s="1"/>
  <c r="J27" i="8" s="1"/>
  <c r="J28" i="8" s="1"/>
  <c r="J29" i="8" s="1"/>
  <c r="I23" i="9"/>
  <c r="I25" i="8" s="1"/>
  <c r="I26" i="8" s="1"/>
  <c r="I27" i="8" s="1"/>
  <c r="I28" i="8" s="1"/>
  <c r="I29" i="8" s="1"/>
  <c r="K23" i="9"/>
  <c r="K25" i="8" s="1"/>
  <c r="K26" i="8" s="1"/>
  <c r="K27" i="8" s="1"/>
  <c r="K28" i="8" s="1"/>
  <c r="K29" i="8" s="1"/>
  <c r="F23" i="9"/>
  <c r="F25" i="8" s="1"/>
  <c r="F26" i="8" s="1"/>
  <c r="F27" i="8" s="1"/>
  <c r="F28" i="8" s="1"/>
  <c r="F29" i="8" s="1"/>
  <c r="G23" i="9"/>
  <c r="G25" i="8" s="1"/>
  <c r="G26" i="8" s="1"/>
  <c r="G27" i="8" s="1"/>
  <c r="G28" i="8" s="1"/>
  <c r="G29" i="8" s="1"/>
  <c r="E23" i="9"/>
  <c r="E25" i="8" s="1"/>
  <c r="E26" i="8" s="1"/>
  <c r="E27" i="8" s="1"/>
  <c r="E28" i="8" s="1"/>
  <c r="E29" i="8" s="1"/>
  <c r="L23" i="9"/>
  <c r="L25" i="8" s="1"/>
  <c r="L26" i="8" s="1"/>
  <c r="L27" i="8" s="1"/>
  <c r="L28" i="8" s="1"/>
  <c r="L29" i="8" s="1"/>
  <c r="H23" i="9"/>
  <c r="H25" i="8" s="1"/>
  <c r="H26" i="8" s="1"/>
  <c r="H27" i="8" s="1"/>
  <c r="H28" i="8" s="1"/>
  <c r="H29" i="8" s="1"/>
  <c r="D23" i="9"/>
  <c r="D25" i="8" s="1"/>
  <c r="D26" i="8" s="1"/>
  <c r="D27" i="8" s="1"/>
  <c r="D28" i="8" s="1"/>
  <c r="D29" i="8" s="1"/>
  <c r="C20" i="9"/>
  <c r="C21" i="9" s="1"/>
  <c r="C40" i="8" s="1"/>
  <c r="D20" i="9"/>
  <c r="D21" i="9" s="1"/>
  <c r="D40" i="8" s="1"/>
  <c r="F20" i="9"/>
  <c r="F21" i="9" s="1"/>
  <c r="F40" i="8" s="1"/>
  <c r="L20" i="9"/>
  <c r="L21" i="9" s="1"/>
  <c r="L40" i="8" s="1"/>
  <c r="H20" i="9"/>
  <c r="H21" i="9" s="1"/>
  <c r="H40" i="8" s="1"/>
  <c r="I20" i="9"/>
  <c r="I21" i="9" s="1"/>
  <c r="I40" i="8" s="1"/>
  <c r="K20" i="9"/>
  <c r="K21" i="9" s="1"/>
  <c r="K40" i="8" s="1"/>
  <c r="J20" i="9"/>
  <c r="J21" i="9" s="1"/>
  <c r="J40" i="8" s="1"/>
  <c r="G20" i="9"/>
  <c r="G21" i="9" s="1"/>
  <c r="G40" i="8" s="1"/>
  <c r="E20" i="9"/>
  <c r="E21" i="9" s="1"/>
  <c r="E40" i="8" s="1"/>
  <c r="C14" i="7"/>
  <c r="B10" i="3"/>
  <c r="A56" i="2"/>
  <c r="B4" i="2"/>
  <c r="B5" i="2" s="1"/>
  <c r="F31" i="1" l="1"/>
  <c r="G31" i="1"/>
  <c r="H31" i="1"/>
  <c r="I31" i="1"/>
  <c r="E31" i="1"/>
  <c r="C21" i="2"/>
  <c r="O100" i="1"/>
  <c r="P100" i="1"/>
  <c r="Q100" i="1"/>
  <c r="R100" i="1"/>
  <c r="S100" i="1"/>
  <c r="T100" i="1"/>
  <c r="O73" i="1"/>
  <c r="P73" i="1"/>
  <c r="Q73" i="1"/>
  <c r="R73" i="1"/>
  <c r="S73" i="1"/>
  <c r="T73" i="1"/>
  <c r="O74" i="1"/>
  <c r="P74" i="1"/>
  <c r="Q74" i="1"/>
  <c r="R74" i="1"/>
  <c r="S74" i="1"/>
  <c r="T74" i="1"/>
  <c r="O28" i="1"/>
  <c r="P28" i="1"/>
  <c r="Q28" i="1"/>
  <c r="R28" i="1"/>
  <c r="S28" i="1"/>
  <c r="T28" i="1"/>
  <c r="O29" i="1"/>
  <c r="P29" i="1"/>
  <c r="Q29" i="1"/>
  <c r="R29" i="1"/>
  <c r="S29" i="1"/>
  <c r="T29" i="1"/>
  <c r="E5" i="1"/>
  <c r="K3" i="1"/>
  <c r="K74" i="1"/>
  <c r="L74" i="1"/>
  <c r="M74" i="1"/>
  <c r="N74" i="1"/>
  <c r="J74" i="1"/>
  <c r="K73" i="1"/>
  <c r="L73" i="1"/>
  <c r="M73" i="1"/>
  <c r="N73" i="1"/>
  <c r="J73" i="1"/>
  <c r="J53" i="1"/>
  <c r="K53" i="1" s="1"/>
  <c r="L53" i="1" s="1"/>
  <c r="M53" i="1" s="1"/>
  <c r="K100" i="1"/>
  <c r="L100" i="1"/>
  <c r="M100" i="1"/>
  <c r="N100" i="1"/>
  <c r="J100" i="1"/>
  <c r="K29" i="1"/>
  <c r="L29" i="1"/>
  <c r="M29" i="1"/>
  <c r="N29" i="1"/>
  <c r="J29" i="1"/>
  <c r="K28" i="1"/>
  <c r="L28" i="1"/>
  <c r="M28" i="1"/>
  <c r="N28" i="1"/>
  <c r="J28" i="1"/>
  <c r="J24" i="1"/>
  <c r="F20" i="1"/>
  <c r="G20" i="1"/>
  <c r="H20" i="1"/>
  <c r="I20" i="1"/>
  <c r="E20" i="1"/>
  <c r="F19" i="1"/>
  <c r="G19" i="1"/>
  <c r="H19" i="1"/>
  <c r="I19" i="1"/>
  <c r="E19" i="1"/>
  <c r="F18" i="1"/>
  <c r="G18" i="1"/>
  <c r="H18" i="1"/>
  <c r="I18" i="1"/>
  <c r="E18" i="1"/>
  <c r="F17" i="1"/>
  <c r="G17" i="1"/>
  <c r="H17" i="1"/>
  <c r="I17" i="1"/>
  <c r="E17" i="1"/>
  <c r="F16" i="1"/>
  <c r="G16" i="1"/>
  <c r="H16" i="1"/>
  <c r="I16" i="1"/>
  <c r="E16" i="1"/>
  <c r="F15" i="1"/>
  <c r="G15" i="1"/>
  <c r="H15" i="1"/>
  <c r="I15" i="1"/>
  <c r="E15" i="1"/>
  <c r="F8" i="1"/>
  <c r="G8" i="1"/>
  <c r="H8" i="1"/>
  <c r="I8" i="1"/>
  <c r="F9" i="1"/>
  <c r="G9" i="1"/>
  <c r="H9" i="1"/>
  <c r="I9" i="1"/>
  <c r="F10" i="1"/>
  <c r="G10" i="1"/>
  <c r="H10" i="1"/>
  <c r="I10" i="1"/>
  <c r="F11" i="1"/>
  <c r="G11" i="1"/>
  <c r="H11" i="1"/>
  <c r="I11" i="1"/>
  <c r="F12" i="1"/>
  <c r="G12" i="1"/>
  <c r="H12" i="1"/>
  <c r="I12" i="1"/>
  <c r="E12" i="1"/>
  <c r="E11" i="1"/>
  <c r="E10" i="1"/>
  <c r="E9" i="1"/>
  <c r="E8" i="1"/>
  <c r="G7" i="1"/>
  <c r="H7" i="1"/>
  <c r="I7" i="1"/>
  <c r="F101" i="1"/>
  <c r="G101" i="1"/>
  <c r="H101" i="1"/>
  <c r="I101" i="1"/>
  <c r="J99" i="1" s="1"/>
  <c r="J102" i="1" s="1"/>
  <c r="J33" i="1" s="1"/>
  <c r="E101" i="1"/>
  <c r="F96" i="1"/>
  <c r="G96" i="1"/>
  <c r="H96" i="1"/>
  <c r="I96" i="1"/>
  <c r="J93" i="1" s="1"/>
  <c r="E96" i="1"/>
  <c r="F89" i="1"/>
  <c r="G89" i="1"/>
  <c r="H89" i="1"/>
  <c r="I89" i="1"/>
  <c r="E89" i="1"/>
  <c r="E90" i="1" s="1"/>
  <c r="F26" i="1"/>
  <c r="G26" i="1"/>
  <c r="D8" i="4" s="1"/>
  <c r="H26" i="1"/>
  <c r="E8" i="4" s="1"/>
  <c r="I26" i="1"/>
  <c r="F8" i="4" s="1"/>
  <c r="F75" i="1"/>
  <c r="G75" i="1"/>
  <c r="H75" i="1"/>
  <c r="I75" i="1"/>
  <c r="E75" i="1"/>
  <c r="E78" i="1"/>
  <c r="F70" i="1"/>
  <c r="G70" i="1"/>
  <c r="H70" i="1"/>
  <c r="I70" i="1"/>
  <c r="E70" i="1"/>
  <c r="F64" i="1"/>
  <c r="G64" i="1"/>
  <c r="H64" i="1"/>
  <c r="I64" i="1"/>
  <c r="E64" i="1"/>
  <c r="G55" i="1"/>
  <c r="H55" i="1"/>
  <c r="I55" i="1"/>
  <c r="F55" i="1"/>
  <c r="E55" i="1"/>
  <c r="F51" i="1"/>
  <c r="G51" i="1"/>
  <c r="H51" i="1"/>
  <c r="I51" i="1"/>
  <c r="B9" i="2" s="1"/>
  <c r="U20" i="5" s="1"/>
  <c r="E51" i="1"/>
  <c r="F46" i="1"/>
  <c r="G46" i="1"/>
  <c r="H46" i="1"/>
  <c r="I46" i="1"/>
  <c r="E46" i="1"/>
  <c r="E23" i="1"/>
  <c r="E40" i="1" s="1"/>
  <c r="E61" i="1" s="1"/>
  <c r="E84" i="1" s="1"/>
  <c r="E26" i="1"/>
  <c r="F7" i="1"/>
  <c r="F2" i="1"/>
  <c r="G2" i="1" s="1"/>
  <c r="G5" i="1" s="1"/>
  <c r="E32" i="1" l="1"/>
  <c r="B8" i="4"/>
  <c r="F32" i="1"/>
  <c r="C8" i="4"/>
  <c r="J25" i="1"/>
  <c r="C4" i="2"/>
  <c r="C5" i="2" s="1"/>
  <c r="G35" i="2"/>
  <c r="C57" i="2"/>
  <c r="L3" i="1"/>
  <c r="D52" i="8"/>
  <c r="V20" i="5"/>
  <c r="V40" i="5" s="1"/>
  <c r="W20" i="5"/>
  <c r="K6" i="6" s="1"/>
  <c r="K9" i="6" s="1"/>
  <c r="K11" i="6" s="1"/>
  <c r="D14" i="6" s="1"/>
  <c r="V30" i="5"/>
  <c r="J6" i="6"/>
  <c r="J9" i="6" s="1"/>
  <c r="J11" i="6" s="1"/>
  <c r="D4" i="7" s="1"/>
  <c r="H4" i="7" s="1"/>
  <c r="W30" i="5"/>
  <c r="U40" i="5"/>
  <c r="I6" i="6"/>
  <c r="U30" i="5"/>
  <c r="S75" i="1"/>
  <c r="H32" i="1"/>
  <c r="G32" i="1"/>
  <c r="K75" i="1"/>
  <c r="T75" i="1"/>
  <c r="P75" i="1"/>
  <c r="R75" i="1"/>
  <c r="I32" i="1"/>
  <c r="L75" i="1"/>
  <c r="O75" i="1"/>
  <c r="Q75" i="1"/>
  <c r="H56" i="1"/>
  <c r="H58" i="1" s="1"/>
  <c r="E21" i="2"/>
  <c r="M75" i="1"/>
  <c r="E56" i="1"/>
  <c r="E58" i="1" s="1"/>
  <c r="F5" i="1"/>
  <c r="J18" i="1"/>
  <c r="C24" i="2" s="1"/>
  <c r="D21" i="2"/>
  <c r="F56" i="1"/>
  <c r="F58" i="1" s="1"/>
  <c r="F90" i="1"/>
  <c r="G56" i="1"/>
  <c r="G58" i="1" s="1"/>
  <c r="I90" i="1"/>
  <c r="I56" i="1"/>
  <c r="I58" i="1" s="1"/>
  <c r="J95" i="1"/>
  <c r="J30" i="1" s="1"/>
  <c r="G90" i="1"/>
  <c r="H90" i="1"/>
  <c r="J44" i="1"/>
  <c r="J87" i="1" s="1"/>
  <c r="J26" i="1"/>
  <c r="G8" i="4" s="1"/>
  <c r="J49" i="1"/>
  <c r="K24" i="1"/>
  <c r="J101" i="1"/>
  <c r="J43" i="1"/>
  <c r="J86" i="1" s="1"/>
  <c r="F23" i="1"/>
  <c r="F40" i="1" s="1"/>
  <c r="F61" i="1" s="1"/>
  <c r="F84" i="1" s="1"/>
  <c r="H2" i="1"/>
  <c r="H5" i="1" s="1"/>
  <c r="G23" i="1"/>
  <c r="G40" i="1" s="1"/>
  <c r="G61" i="1" s="1"/>
  <c r="G84" i="1" s="1"/>
  <c r="N75" i="1"/>
  <c r="J75" i="1"/>
  <c r="N53" i="1"/>
  <c r="O53" i="1" s="1"/>
  <c r="P53" i="1" s="1"/>
  <c r="Q53" i="1" s="1"/>
  <c r="G34" i="1" l="1"/>
  <c r="D5" i="4"/>
  <c r="H34" i="1"/>
  <c r="E5" i="4"/>
  <c r="I34" i="1"/>
  <c r="I37" i="1" s="1"/>
  <c r="F5" i="4"/>
  <c r="B6" i="2"/>
  <c r="W40" i="5"/>
  <c r="F34" i="1"/>
  <c r="C5" i="4"/>
  <c r="K18" i="1"/>
  <c r="D24" i="2" s="1"/>
  <c r="D4" i="2"/>
  <c r="D5" i="2" s="1"/>
  <c r="J31" i="1"/>
  <c r="J32" i="1" s="1"/>
  <c r="C23" i="2"/>
  <c r="M3" i="1"/>
  <c r="E52" i="8"/>
  <c r="E34" i="1"/>
  <c r="B5" i="4"/>
  <c r="D18" i="6"/>
  <c r="B18" i="6"/>
  <c r="D17" i="6"/>
  <c r="B15" i="6"/>
  <c r="B19" i="6"/>
  <c r="I9" i="6"/>
  <c r="I11" i="6" s="1"/>
  <c r="B14" i="6" s="1"/>
  <c r="C4" i="7" s="1"/>
  <c r="B16" i="6"/>
  <c r="D15" i="6"/>
  <c r="B17" i="6"/>
  <c r="D16" i="6"/>
  <c r="C16" i="6" s="1"/>
  <c r="D19" i="6"/>
  <c r="E4" i="7"/>
  <c r="J64" i="1"/>
  <c r="I13" i="1"/>
  <c r="J94" i="1"/>
  <c r="J96" i="1" s="1"/>
  <c r="J45" i="1" s="1"/>
  <c r="J69" i="1"/>
  <c r="J70" i="1" s="1"/>
  <c r="K69" i="1"/>
  <c r="K70" i="1" s="1"/>
  <c r="K94" i="1"/>
  <c r="R53" i="1"/>
  <c r="F13" i="1"/>
  <c r="F37" i="1"/>
  <c r="J88" i="1"/>
  <c r="J89" i="1" s="1"/>
  <c r="J90" i="1" s="1"/>
  <c r="L24" i="1"/>
  <c r="K25" i="1"/>
  <c r="K43" i="1"/>
  <c r="K86" i="1" s="1"/>
  <c r="J50" i="1"/>
  <c r="J51" i="1" s="1"/>
  <c r="K99" i="1"/>
  <c r="I2" i="1"/>
  <c r="B34" i="8" s="1"/>
  <c r="H23" i="1"/>
  <c r="H40" i="1" s="1"/>
  <c r="H61" i="1" s="1"/>
  <c r="H84" i="1" s="1"/>
  <c r="J34" i="1" l="1"/>
  <c r="J36" i="1" s="1"/>
  <c r="J37" i="1" s="1"/>
  <c r="C6" i="2"/>
  <c r="C22" i="2"/>
  <c r="I63" i="1"/>
  <c r="I66" i="1" s="1"/>
  <c r="I77" i="1" s="1"/>
  <c r="F9" i="4"/>
  <c r="F4" i="4"/>
  <c r="F3" i="4"/>
  <c r="F10" i="4"/>
  <c r="C9" i="2"/>
  <c r="H13" i="1"/>
  <c r="H37" i="1"/>
  <c r="E37" i="1"/>
  <c r="E13" i="1"/>
  <c r="C15" i="6"/>
  <c r="F63" i="1"/>
  <c r="F66" i="1" s="1"/>
  <c r="F77" i="1" s="1"/>
  <c r="C10" i="4"/>
  <c r="C4" i="4"/>
  <c r="C3" i="4"/>
  <c r="C9" i="4"/>
  <c r="L18" i="1"/>
  <c r="E24" i="2" s="1"/>
  <c r="E4" i="2"/>
  <c r="E5" i="2" s="1"/>
  <c r="N3" i="1"/>
  <c r="F52" i="8"/>
  <c r="F21" i="2"/>
  <c r="G13" i="1"/>
  <c r="G37" i="1"/>
  <c r="J65" i="1"/>
  <c r="C25" i="2"/>
  <c r="B8" i="2"/>
  <c r="F48" i="2"/>
  <c r="B7" i="2"/>
  <c r="L42" i="2"/>
  <c r="C14" i="6"/>
  <c r="I4" i="7"/>
  <c r="D15" i="7"/>
  <c r="C19" i="6"/>
  <c r="C17" i="6"/>
  <c r="G4" i="7"/>
  <c r="B15" i="7"/>
  <c r="C18" i="6"/>
  <c r="K93" i="1"/>
  <c r="K95" i="1" s="1"/>
  <c r="K30" i="1" s="1"/>
  <c r="I5" i="1"/>
  <c r="B3" i="2"/>
  <c r="L94" i="1"/>
  <c r="L69" i="1"/>
  <c r="L70" i="1" s="1"/>
  <c r="S53" i="1"/>
  <c r="J63" i="1"/>
  <c r="J66" i="1" s="1"/>
  <c r="J77" i="1" s="1"/>
  <c r="J54" i="1"/>
  <c r="K102" i="1"/>
  <c r="K33" i="1" s="1"/>
  <c r="K101" i="1"/>
  <c r="L43" i="1"/>
  <c r="L86" i="1" s="1"/>
  <c r="L25" i="1"/>
  <c r="L26" i="1" s="1"/>
  <c r="I8" i="4" s="1"/>
  <c r="M24" i="1"/>
  <c r="K26" i="1"/>
  <c r="H8" i="4" s="1"/>
  <c r="K44" i="1"/>
  <c r="K87" i="1" s="1"/>
  <c r="K49" i="1"/>
  <c r="J2" i="1"/>
  <c r="I23" i="1"/>
  <c r="I40" i="1" s="1"/>
  <c r="I61" i="1" s="1"/>
  <c r="I84" i="1" s="1"/>
  <c r="E63" i="1" l="1"/>
  <c r="E66" i="1" s="1"/>
  <c r="E77" i="1" s="1"/>
  <c r="E79" i="1" s="1"/>
  <c r="B10" i="4"/>
  <c r="B9" i="4"/>
  <c r="B4" i="4"/>
  <c r="B3" i="4"/>
  <c r="O3" i="1"/>
  <c r="G52" i="8"/>
  <c r="G21" i="2"/>
  <c r="M18" i="1"/>
  <c r="F24" i="2" s="1"/>
  <c r="F4" i="2"/>
  <c r="F5" i="2" s="1"/>
  <c r="H63" i="1"/>
  <c r="H66" i="1" s="1"/>
  <c r="H77" i="1" s="1"/>
  <c r="E9" i="4"/>
  <c r="E3" i="4"/>
  <c r="E10" i="4"/>
  <c r="E4" i="4"/>
  <c r="G63" i="1"/>
  <c r="G66" i="1" s="1"/>
  <c r="G77" i="1" s="1"/>
  <c r="D10" i="4"/>
  <c r="D4" i="4"/>
  <c r="D3" i="4"/>
  <c r="D9" i="4"/>
  <c r="C26" i="2"/>
  <c r="C8" i="2"/>
  <c r="C7" i="2"/>
  <c r="C51" i="8"/>
  <c r="C20" i="2"/>
  <c r="G9" i="4"/>
  <c r="G3" i="4"/>
  <c r="G10" i="4"/>
  <c r="C15" i="7"/>
  <c r="K31" i="1"/>
  <c r="K32" i="1" s="1"/>
  <c r="D23" i="2"/>
  <c r="J5" i="1"/>
  <c r="M69" i="1"/>
  <c r="M70" i="1" s="1"/>
  <c r="M94" i="1"/>
  <c r="T53" i="1"/>
  <c r="J55" i="1"/>
  <c r="L99" i="1"/>
  <c r="K50" i="1"/>
  <c r="K51" i="1" s="1"/>
  <c r="D9" i="2" s="1"/>
  <c r="K64" i="1"/>
  <c r="L49" i="1"/>
  <c r="L44" i="1"/>
  <c r="L87" i="1" s="1"/>
  <c r="K88" i="1"/>
  <c r="K89" i="1" s="1"/>
  <c r="K90" i="1" s="1"/>
  <c r="M25" i="1"/>
  <c r="M26" i="1" s="1"/>
  <c r="J8" i="4" s="1"/>
  <c r="M43" i="1"/>
  <c r="M86" i="1" s="1"/>
  <c r="N24" i="1"/>
  <c r="G4" i="2" s="1"/>
  <c r="G5" i="2" s="1"/>
  <c r="K96" i="1"/>
  <c r="K2" i="1"/>
  <c r="D51" i="8" s="1"/>
  <c r="D34" i="8" s="1"/>
  <c r="D13" i="8" s="1"/>
  <c r="J23" i="1"/>
  <c r="J40" i="1" s="1"/>
  <c r="J61" i="1" s="1"/>
  <c r="J84" i="1" s="1"/>
  <c r="P3" i="1" l="1"/>
  <c r="H52" i="8"/>
  <c r="H21" i="2"/>
  <c r="K65" i="1"/>
  <c r="D25" i="2"/>
  <c r="D1" i="8"/>
  <c r="D18" i="9"/>
  <c r="C34" i="8"/>
  <c r="C13" i="8" s="1"/>
  <c r="A5" i="9"/>
  <c r="A6" i="9" s="1"/>
  <c r="A7" i="9" s="1"/>
  <c r="A8" i="9" s="1"/>
  <c r="A9" i="9" s="1"/>
  <c r="A10" i="9" s="1"/>
  <c r="A11" i="9" s="1"/>
  <c r="A12" i="9" s="1"/>
  <c r="A13" i="9" s="1"/>
  <c r="A14" i="9" s="1"/>
  <c r="J56" i="1"/>
  <c r="B14" i="3"/>
  <c r="E81" i="1"/>
  <c r="F78" i="1"/>
  <c r="F79" i="1" s="1"/>
  <c r="K34" i="1"/>
  <c r="K36" i="1" s="1"/>
  <c r="K37" i="1" s="1"/>
  <c r="K54" i="1" s="1"/>
  <c r="D6" i="2"/>
  <c r="D22" i="2"/>
  <c r="D26" i="2" s="1"/>
  <c r="D20" i="2"/>
  <c r="D3" i="2" s="1"/>
  <c r="K5" i="1"/>
  <c r="O24" i="1"/>
  <c r="H4" i="2" s="1"/>
  <c r="H5" i="2" s="1"/>
  <c r="N18" i="1"/>
  <c r="G24" i="2" s="1"/>
  <c r="N43" i="1"/>
  <c r="N86" i="1" s="1"/>
  <c r="N25" i="1"/>
  <c r="N26" i="1" s="1"/>
  <c r="K8" i="4" s="1"/>
  <c r="L88" i="1"/>
  <c r="L89" i="1" s="1"/>
  <c r="L90" i="1" s="1"/>
  <c r="L101" i="1"/>
  <c r="L102" i="1"/>
  <c r="L33" i="1" s="1"/>
  <c r="L93" i="1"/>
  <c r="K45" i="1"/>
  <c r="M49" i="1"/>
  <c r="M44" i="1"/>
  <c r="M87" i="1" s="1"/>
  <c r="L2" i="1"/>
  <c r="E51" i="8" s="1"/>
  <c r="E34" i="8" s="1"/>
  <c r="E13" i="8" s="1"/>
  <c r="K23" i="1"/>
  <c r="K40" i="1" s="1"/>
  <c r="K61" i="1" s="1"/>
  <c r="K84" i="1" s="1"/>
  <c r="F81" i="1" l="1"/>
  <c r="G78" i="1"/>
  <c r="G79" i="1" s="1"/>
  <c r="C18" i="9"/>
  <c r="C1" i="8"/>
  <c r="B16" i="3"/>
  <c r="E1" i="8"/>
  <c r="E18" i="9"/>
  <c r="G5" i="4"/>
  <c r="L65" i="1"/>
  <c r="E25" i="2"/>
  <c r="Q3" i="1"/>
  <c r="I52" i="8"/>
  <c r="I21" i="2"/>
  <c r="H10" i="4"/>
  <c r="H9" i="4"/>
  <c r="D8" i="2"/>
  <c r="D7" i="2"/>
  <c r="K63" i="1"/>
  <c r="K66" i="1" s="1"/>
  <c r="K77" i="1" s="1"/>
  <c r="N94" i="1"/>
  <c r="N69" i="1"/>
  <c r="N70" i="1" s="1"/>
  <c r="P24" i="1"/>
  <c r="I4" i="2" s="1"/>
  <c r="I5" i="2" s="1"/>
  <c r="O25" i="1"/>
  <c r="O43" i="1"/>
  <c r="O86" i="1" s="1"/>
  <c r="O18" i="1"/>
  <c r="H24" i="2" s="1"/>
  <c r="E20" i="2"/>
  <c r="E3" i="2" s="1"/>
  <c r="L5" i="1"/>
  <c r="L95" i="1"/>
  <c r="L30" i="1" s="1"/>
  <c r="N49" i="1"/>
  <c r="N88" i="1" s="1"/>
  <c r="N44" i="1"/>
  <c r="N87" i="1" s="1"/>
  <c r="K55" i="1"/>
  <c r="K56" i="1" s="1"/>
  <c r="H5" i="4" s="1"/>
  <c r="M88" i="1"/>
  <c r="M89" i="1" s="1"/>
  <c r="M90" i="1" s="1"/>
  <c r="M99" i="1"/>
  <c r="L50" i="1"/>
  <c r="L51" i="1" s="1"/>
  <c r="E9" i="2" s="1"/>
  <c r="M2" i="1"/>
  <c r="F51" i="8" s="1"/>
  <c r="F34" i="8" s="1"/>
  <c r="F13" i="8" s="1"/>
  <c r="L23" i="1"/>
  <c r="L40" i="1" s="1"/>
  <c r="L61" i="1" s="1"/>
  <c r="L84" i="1" s="1"/>
  <c r="L66" i="8" l="1"/>
  <c r="L35" i="2"/>
  <c r="E11" i="3"/>
  <c r="E2" i="3"/>
  <c r="F1" i="8"/>
  <c r="F18" i="9"/>
  <c r="H78" i="1"/>
  <c r="H79" i="1" s="1"/>
  <c r="G81" i="1"/>
  <c r="M65" i="1"/>
  <c r="F25" i="2"/>
  <c r="R3" i="1"/>
  <c r="J52" i="8"/>
  <c r="J21" i="2"/>
  <c r="L31" i="1"/>
  <c r="L32" i="1" s="1"/>
  <c r="E23" i="2"/>
  <c r="H3" i="4"/>
  <c r="N89" i="1"/>
  <c r="N90" i="1" s="1"/>
  <c r="O44" i="1"/>
  <c r="O87" i="1" s="1"/>
  <c r="O49" i="1"/>
  <c r="O94" i="1"/>
  <c r="O69" i="1"/>
  <c r="O70" i="1" s="1"/>
  <c r="O26" i="1"/>
  <c r="L8" i="4" s="1"/>
  <c r="P25" i="1"/>
  <c r="P18" i="1"/>
  <c r="I24" i="2" s="1"/>
  <c r="P43" i="1"/>
  <c r="P86" i="1" s="1"/>
  <c r="Q24" i="1"/>
  <c r="J4" i="2" s="1"/>
  <c r="J5" i="2" s="1"/>
  <c r="F20" i="2"/>
  <c r="F3" i="2" s="1"/>
  <c r="M5" i="1"/>
  <c r="L96" i="1"/>
  <c r="M101" i="1"/>
  <c r="M102" i="1"/>
  <c r="M33" i="1" s="1"/>
  <c r="L64" i="1"/>
  <c r="N2" i="1"/>
  <c r="G51" i="8" s="1"/>
  <c r="G34" i="8" s="1"/>
  <c r="G13" i="8" s="1"/>
  <c r="M23" i="1"/>
  <c r="M40" i="1" s="1"/>
  <c r="M61" i="1" s="1"/>
  <c r="M84" i="1" s="1"/>
  <c r="N65" i="1" l="1"/>
  <c r="G25" i="2"/>
  <c r="G1" i="8"/>
  <c r="G18" i="9"/>
  <c r="H81" i="1"/>
  <c r="I78" i="1"/>
  <c r="I79" i="1" s="1"/>
  <c r="I27" i="2"/>
  <c r="I28" i="2" s="1"/>
  <c r="D27" i="2"/>
  <c r="D28" i="2" s="1"/>
  <c r="D29" i="2" s="1"/>
  <c r="H27" i="2"/>
  <c r="H28" i="2" s="1"/>
  <c r="G27" i="2"/>
  <c r="G28" i="2" s="1"/>
  <c r="C27" i="2"/>
  <c r="C28" i="2" s="1"/>
  <c r="C29" i="2" s="1"/>
  <c r="L27" i="2"/>
  <c r="F27" i="2"/>
  <c r="F28" i="2" s="1"/>
  <c r="E27" i="2"/>
  <c r="E28" i="2" s="1"/>
  <c r="J27" i="2"/>
  <c r="J28" i="2" s="1"/>
  <c r="K27" i="2"/>
  <c r="S3" i="1"/>
  <c r="K52" i="8"/>
  <c r="K21" i="2"/>
  <c r="H58" i="8"/>
  <c r="H59" i="8" s="1"/>
  <c r="H60" i="8" s="1"/>
  <c r="L69" i="8"/>
  <c r="AD103" i="8" s="1"/>
  <c r="D58" i="8"/>
  <c r="D59" i="8" s="1"/>
  <c r="D60" i="8" s="1"/>
  <c r="L58" i="8"/>
  <c r="G58" i="8"/>
  <c r="G59" i="8" s="1"/>
  <c r="G60" i="8" s="1"/>
  <c r="K58" i="8"/>
  <c r="B79" i="8"/>
  <c r="E58" i="8"/>
  <c r="E59" i="8" s="1"/>
  <c r="E60" i="8" s="1"/>
  <c r="I58" i="8"/>
  <c r="I59" i="8" s="1"/>
  <c r="I60" i="8" s="1"/>
  <c r="F58" i="8"/>
  <c r="F59" i="8" s="1"/>
  <c r="F60" i="8" s="1"/>
  <c r="J58" i="8"/>
  <c r="J59" i="8" s="1"/>
  <c r="J60" i="8" s="1"/>
  <c r="C58" i="8"/>
  <c r="C59" i="8" s="1"/>
  <c r="C60" i="8" s="1"/>
  <c r="L34" i="1"/>
  <c r="L36" i="1" s="1"/>
  <c r="L37" i="1" s="1"/>
  <c r="E6" i="2"/>
  <c r="E22" i="2"/>
  <c r="E26" i="2" s="1"/>
  <c r="G20" i="2"/>
  <c r="G3" i="2" s="1"/>
  <c r="N5" i="1"/>
  <c r="P49" i="1"/>
  <c r="P88" i="1" s="1"/>
  <c r="P44" i="1"/>
  <c r="P87" i="1" s="1"/>
  <c r="O88" i="1"/>
  <c r="O89" i="1" s="1"/>
  <c r="O90" i="1" s="1"/>
  <c r="P94" i="1"/>
  <c r="P69" i="1"/>
  <c r="P70" i="1" s="1"/>
  <c r="Q18" i="1"/>
  <c r="J24" i="2" s="1"/>
  <c r="Q43" i="1"/>
  <c r="Q86" i="1" s="1"/>
  <c r="Q25" i="1"/>
  <c r="Q26" i="1" s="1"/>
  <c r="N8" i="4" s="1"/>
  <c r="R24" i="1"/>
  <c r="K4" i="2" s="1"/>
  <c r="K5" i="2" s="1"/>
  <c r="P26" i="1"/>
  <c r="M8" i="4" s="1"/>
  <c r="M93" i="1"/>
  <c r="L45" i="1"/>
  <c r="L63" i="1"/>
  <c r="L66" i="1" s="1"/>
  <c r="L77" i="1" s="1"/>
  <c r="L54" i="1"/>
  <c r="N99" i="1"/>
  <c r="M50" i="1"/>
  <c r="M51" i="1" s="1"/>
  <c r="F9" i="2" s="1"/>
  <c r="O2" i="1"/>
  <c r="H51" i="8" s="1"/>
  <c r="H34" i="8" s="1"/>
  <c r="H13" i="8" s="1"/>
  <c r="N23" i="1"/>
  <c r="N40" i="1" s="1"/>
  <c r="N61" i="1" s="1"/>
  <c r="N84" i="1" s="1"/>
  <c r="E29" i="2" l="1"/>
  <c r="K28" i="2"/>
  <c r="I81" i="1"/>
  <c r="J78" i="1"/>
  <c r="H1" i="8"/>
  <c r="H18" i="9"/>
  <c r="O65" i="1"/>
  <c r="H25" i="2"/>
  <c r="K59" i="8"/>
  <c r="K60" i="8" s="1"/>
  <c r="T3" i="1"/>
  <c r="L52" i="8"/>
  <c r="L59" i="8" s="1"/>
  <c r="L21" i="2"/>
  <c r="L28" i="2" s="1"/>
  <c r="B40" i="2" s="1"/>
  <c r="I10" i="4"/>
  <c r="I9" i="4"/>
  <c r="E7" i="2"/>
  <c r="E8" i="2"/>
  <c r="P89" i="1"/>
  <c r="P90" i="1" s="1"/>
  <c r="Q44" i="1"/>
  <c r="Q87" i="1" s="1"/>
  <c r="Q49" i="1"/>
  <c r="Q88" i="1" s="1"/>
  <c r="Q69" i="1"/>
  <c r="Q70" i="1" s="1"/>
  <c r="Q94" i="1"/>
  <c r="H20" i="2"/>
  <c r="H3" i="2" s="1"/>
  <c r="O5" i="1"/>
  <c r="R25" i="1"/>
  <c r="R18" i="1"/>
  <c r="K24" i="2" s="1"/>
  <c r="R43" i="1"/>
  <c r="R86" i="1" s="1"/>
  <c r="S24" i="1"/>
  <c r="L4" i="2" s="1"/>
  <c r="N101" i="1"/>
  <c r="N102" i="1"/>
  <c r="N33" i="1" s="1"/>
  <c r="M95" i="1"/>
  <c r="M30" i="1" s="1"/>
  <c r="L55" i="1"/>
  <c r="L56" i="1" s="1"/>
  <c r="I5" i="4" s="1"/>
  <c r="P2" i="1"/>
  <c r="I51" i="8" s="1"/>
  <c r="I34" i="8" s="1"/>
  <c r="I13" i="8" s="1"/>
  <c r="O23" i="1"/>
  <c r="O40" i="1" s="1"/>
  <c r="O61" i="1" s="1"/>
  <c r="O84" i="1" s="1"/>
  <c r="B71" i="8" l="1"/>
  <c r="B72" i="8" s="1"/>
  <c r="L60" i="8"/>
  <c r="B81" i="8" s="1"/>
  <c r="C79" i="8"/>
  <c r="B82" i="8" s="1"/>
  <c r="I1" i="8"/>
  <c r="I18" i="9"/>
  <c r="S8" i="5"/>
  <c r="L5" i="2"/>
  <c r="J79" i="1"/>
  <c r="C90" i="8"/>
  <c r="C59" i="2"/>
  <c r="P65" i="1"/>
  <c r="I25" i="2"/>
  <c r="I3" i="4"/>
  <c r="M31" i="1"/>
  <c r="M32" i="1" s="1"/>
  <c r="F23" i="2"/>
  <c r="Q89" i="1"/>
  <c r="Q90" i="1" s="1"/>
  <c r="S25" i="1"/>
  <c r="S26" i="1" s="1"/>
  <c r="P8" i="4" s="1"/>
  <c r="S18" i="1"/>
  <c r="L24" i="2" s="1"/>
  <c r="S43" i="1"/>
  <c r="S86" i="1" s="1"/>
  <c r="T24" i="1"/>
  <c r="M4" i="2" s="1"/>
  <c r="M5" i="2" s="1"/>
  <c r="R49" i="1"/>
  <c r="R88" i="1" s="1"/>
  <c r="R44" i="1"/>
  <c r="R87" i="1" s="1"/>
  <c r="R89" i="1" s="1"/>
  <c r="R90" i="1" s="1"/>
  <c r="I20" i="2"/>
  <c r="I3" i="2" s="1"/>
  <c r="P5" i="1"/>
  <c r="N50" i="1"/>
  <c r="N51" i="1" s="1"/>
  <c r="G9" i="2" s="1"/>
  <c r="O99" i="1"/>
  <c r="R26" i="1"/>
  <c r="O8" i="4" s="1"/>
  <c r="R94" i="1"/>
  <c r="R69" i="1"/>
  <c r="R70" i="1" s="1"/>
  <c r="M96" i="1"/>
  <c r="N93" i="1" s="1"/>
  <c r="M64" i="1"/>
  <c r="Q2" i="1"/>
  <c r="J51" i="8" s="1"/>
  <c r="J34" i="8" s="1"/>
  <c r="J13" i="8" s="1"/>
  <c r="P23" i="1"/>
  <c r="P40" i="1" s="1"/>
  <c r="P61" i="1" s="1"/>
  <c r="P84" i="1" s="1"/>
  <c r="R65" i="1" l="1"/>
  <c r="K25" i="2"/>
  <c r="B83" i="8"/>
  <c r="V39" i="5"/>
  <c r="V43" i="5" s="1"/>
  <c r="V45" i="5" s="1"/>
  <c r="D7" i="7" s="1"/>
  <c r="H7" i="7" s="1"/>
  <c r="W39" i="5"/>
  <c r="W43" i="5" s="1"/>
  <c r="W45" i="5" s="1"/>
  <c r="U39" i="5"/>
  <c r="U43" i="5" s="1"/>
  <c r="U45" i="5" s="1"/>
  <c r="J1" i="8"/>
  <c r="J18" i="9"/>
  <c r="Q65" i="1"/>
  <c r="J25" i="2"/>
  <c r="K78" i="1"/>
  <c r="K79" i="1" s="1"/>
  <c r="J42" i="1"/>
  <c r="J46" i="1" s="1"/>
  <c r="J81" i="1"/>
  <c r="B65" i="8"/>
  <c r="M34" i="1"/>
  <c r="M36" i="1" s="1"/>
  <c r="M37" i="1" s="1"/>
  <c r="F6" i="2"/>
  <c r="F22" i="2"/>
  <c r="F26" i="2" s="1"/>
  <c r="F29" i="2" s="1"/>
  <c r="O102" i="1"/>
  <c r="O33" i="1" s="1"/>
  <c r="O101" i="1"/>
  <c r="S94" i="1"/>
  <c r="S69" i="1"/>
  <c r="S70" i="1" s="1"/>
  <c r="J20" i="2"/>
  <c r="J3" i="2" s="1"/>
  <c r="Q5" i="1"/>
  <c r="M45" i="1"/>
  <c r="T18" i="1"/>
  <c r="T43" i="1"/>
  <c r="T86" i="1" s="1"/>
  <c r="T25" i="1"/>
  <c r="S44" i="1"/>
  <c r="S87" i="1" s="1"/>
  <c r="S49" i="1"/>
  <c r="S88" i="1" s="1"/>
  <c r="M63" i="1"/>
  <c r="M66" i="1" s="1"/>
  <c r="M77" i="1" s="1"/>
  <c r="M54" i="1"/>
  <c r="N95" i="1"/>
  <c r="N30" i="1" s="1"/>
  <c r="R2" i="1"/>
  <c r="K51" i="8" s="1"/>
  <c r="K34" i="8" s="1"/>
  <c r="K13" i="8" s="1"/>
  <c r="Q23" i="1"/>
  <c r="Q40" i="1" s="1"/>
  <c r="Q61" i="1" s="1"/>
  <c r="Q84" i="1" s="1"/>
  <c r="AA22" i="5" l="1"/>
  <c r="C7" i="7"/>
  <c r="G4" i="4"/>
  <c r="J58" i="1"/>
  <c r="K42" i="1"/>
  <c r="K46" i="1" s="1"/>
  <c r="L78" i="1"/>
  <c r="L79" i="1" s="1"/>
  <c r="K81" i="1"/>
  <c r="C81" i="8"/>
  <c r="C83" i="8"/>
  <c r="C87" i="8"/>
  <c r="C91" i="8" s="1"/>
  <c r="C95" i="8" s="1"/>
  <c r="F80" i="8"/>
  <c r="F81" i="8" s="1"/>
  <c r="K1" i="8"/>
  <c r="K18" i="9"/>
  <c r="AC22" i="5"/>
  <c r="E7" i="7"/>
  <c r="B75" i="8"/>
  <c r="B66" i="8" s="1"/>
  <c r="C82" i="8"/>
  <c r="J9" i="4"/>
  <c r="J10" i="4"/>
  <c r="F8" i="2"/>
  <c r="F7" i="2"/>
  <c r="N31" i="1"/>
  <c r="N32" i="1" s="1"/>
  <c r="G23" i="2"/>
  <c r="S89" i="1"/>
  <c r="S90" i="1" s="1"/>
  <c r="T49" i="1"/>
  <c r="T88" i="1" s="1"/>
  <c r="T44" i="1"/>
  <c r="T87" i="1" s="1"/>
  <c r="P99" i="1"/>
  <c r="O50" i="1"/>
  <c r="O51" i="1" s="1"/>
  <c r="H9" i="2" s="1"/>
  <c r="K20" i="2"/>
  <c r="K3" i="2" s="1"/>
  <c r="R5" i="1"/>
  <c r="T94" i="1"/>
  <c r="T69" i="1"/>
  <c r="T70" i="1" s="1"/>
  <c r="T26" i="1"/>
  <c r="N96" i="1"/>
  <c r="N64" i="1"/>
  <c r="M55" i="1"/>
  <c r="M56" i="1" s="1"/>
  <c r="J5" i="4" s="1"/>
  <c r="S2" i="1"/>
  <c r="L51" i="8" s="1"/>
  <c r="L34" i="8" s="1"/>
  <c r="L13" i="8" s="1"/>
  <c r="R23" i="1"/>
  <c r="R40" i="1" s="1"/>
  <c r="R61" i="1" s="1"/>
  <c r="R84" i="1" s="1"/>
  <c r="I7" i="7" l="1"/>
  <c r="D18" i="7"/>
  <c r="L42" i="1"/>
  <c r="L46" i="1" s="1"/>
  <c r="M78" i="1"/>
  <c r="M79" i="1" s="1"/>
  <c r="L81" i="1"/>
  <c r="H4" i="4"/>
  <c r="K58" i="1"/>
  <c r="S65" i="1"/>
  <c r="L25" i="2"/>
  <c r="G7" i="7"/>
  <c r="B18" i="7"/>
  <c r="L1" i="8"/>
  <c r="L18" i="9"/>
  <c r="V103" i="8"/>
  <c r="G65" i="8"/>
  <c r="G71" i="8" s="1"/>
  <c r="G75" i="8" s="1"/>
  <c r="V115" i="8" s="1"/>
  <c r="L72" i="8"/>
  <c r="L75" i="8" s="1"/>
  <c r="B73" i="8"/>
  <c r="AB22" i="5"/>
  <c r="J3" i="4"/>
  <c r="N34" i="1"/>
  <c r="N36" i="1" s="1"/>
  <c r="N37" i="1" s="1"/>
  <c r="G6" i="2"/>
  <c r="G22" i="2"/>
  <c r="G26" i="2" s="1"/>
  <c r="G29" i="2" s="1"/>
  <c r="T89" i="1"/>
  <c r="T90" i="1" s="1"/>
  <c r="T65" i="1" s="1"/>
  <c r="P101" i="1"/>
  <c r="P102" i="1"/>
  <c r="P33" i="1" s="1"/>
  <c r="L20" i="2"/>
  <c r="L3" i="2" s="1"/>
  <c r="S5" i="1"/>
  <c r="N45" i="1"/>
  <c r="O93" i="1"/>
  <c r="T2" i="1"/>
  <c r="M3" i="2" s="1"/>
  <c r="S23" i="1"/>
  <c r="S40" i="1" s="1"/>
  <c r="S61" i="1" s="1"/>
  <c r="S84" i="1" s="1"/>
  <c r="M42" i="1" l="1"/>
  <c r="N78" i="1"/>
  <c r="I4" i="4"/>
  <c r="L58" i="1"/>
  <c r="C18" i="7"/>
  <c r="N54" i="1"/>
  <c r="K10" i="4"/>
  <c r="K9" i="4"/>
  <c r="G8" i="2"/>
  <c r="G7" i="2"/>
  <c r="N63" i="1"/>
  <c r="N66" i="1" s="1"/>
  <c r="N77" i="1" s="1"/>
  <c r="N79" i="1" s="1"/>
  <c r="O78" i="1" s="1"/>
  <c r="T5" i="1"/>
  <c r="P50" i="1"/>
  <c r="P51" i="1" s="1"/>
  <c r="I9" i="2" s="1"/>
  <c r="Q99" i="1"/>
  <c r="O95" i="1"/>
  <c r="O30" i="1" s="1"/>
  <c r="N55" i="1"/>
  <c r="N56" i="1" s="1"/>
  <c r="K5" i="4" s="1"/>
  <c r="T23" i="1"/>
  <c r="T40" i="1" s="1"/>
  <c r="T61" i="1" s="1"/>
  <c r="T84" i="1" s="1"/>
  <c r="M46" i="1" l="1"/>
  <c r="M81" i="1"/>
  <c r="N42" i="1"/>
  <c r="N46" i="1" s="1"/>
  <c r="K4" i="4" s="1"/>
  <c r="O31" i="1"/>
  <c r="O32" i="1" s="1"/>
  <c r="H23" i="2"/>
  <c r="K3" i="4"/>
  <c r="N81" i="1"/>
  <c r="Q102" i="1"/>
  <c r="Q33" i="1" s="1"/>
  <c r="Q101" i="1"/>
  <c r="O64" i="1"/>
  <c r="O96" i="1"/>
  <c r="N58" i="1" l="1"/>
  <c r="J4" i="4"/>
  <c r="M58" i="1"/>
  <c r="O34" i="1"/>
  <c r="O36" i="1" s="1"/>
  <c r="O37" i="1" s="1"/>
  <c r="O63" i="1" s="1"/>
  <c r="O66" i="1" s="1"/>
  <c r="O77" i="1" s="1"/>
  <c r="O79" i="1" s="1"/>
  <c r="H6" i="2"/>
  <c r="H22" i="2"/>
  <c r="H26" i="2" s="1"/>
  <c r="H29" i="2" s="1"/>
  <c r="R99" i="1"/>
  <c r="Q50" i="1"/>
  <c r="Q51" i="1" s="1"/>
  <c r="J9" i="2" s="1"/>
  <c r="O45" i="1"/>
  <c r="P93" i="1"/>
  <c r="O54" i="1" l="1"/>
  <c r="L10" i="4"/>
  <c r="L9" i="4"/>
  <c r="H8" i="2"/>
  <c r="H7" i="2"/>
  <c r="R102" i="1"/>
  <c r="R33" i="1" s="1"/>
  <c r="R101" i="1"/>
  <c r="P95" i="1"/>
  <c r="P30" i="1" s="1"/>
  <c r="O55" i="1"/>
  <c r="O56" i="1" s="1"/>
  <c r="L5" i="4" s="1"/>
  <c r="O42" i="1"/>
  <c r="O46" i="1" s="1"/>
  <c r="L4" i="4" s="1"/>
  <c r="P78" i="1"/>
  <c r="L3" i="4" l="1"/>
  <c r="P31" i="1"/>
  <c r="P32" i="1" s="1"/>
  <c r="I23" i="2"/>
  <c r="O81" i="1"/>
  <c r="S99" i="1"/>
  <c r="R50" i="1"/>
  <c r="R51" i="1" s="1"/>
  <c r="K9" i="2" s="1"/>
  <c r="P64" i="1"/>
  <c r="O58" i="1"/>
  <c r="P96" i="1"/>
  <c r="P34" i="1" l="1"/>
  <c r="P36" i="1" s="1"/>
  <c r="P37" i="1" s="1"/>
  <c r="I6" i="2"/>
  <c r="I22" i="2"/>
  <c r="I26" i="2" s="1"/>
  <c r="I29" i="2" s="1"/>
  <c r="S102" i="1"/>
  <c r="S33" i="1" s="1"/>
  <c r="S101" i="1"/>
  <c r="P45" i="1"/>
  <c r="Q93" i="1"/>
  <c r="P63" i="1" l="1"/>
  <c r="P66" i="1" s="1"/>
  <c r="P77" i="1" s="1"/>
  <c r="P79" i="1" s="1"/>
  <c r="M10" i="4"/>
  <c r="M9" i="4"/>
  <c r="P54" i="1"/>
  <c r="P55" i="1" s="1"/>
  <c r="P56" i="1" s="1"/>
  <c r="M5" i="4" s="1"/>
  <c r="I7" i="2"/>
  <c r="I8" i="2"/>
  <c r="S50" i="1"/>
  <c r="S51" i="1" s="1"/>
  <c r="L9" i="2" s="1"/>
  <c r="T99" i="1"/>
  <c r="Q95" i="1"/>
  <c r="Q30" i="1" s="1"/>
  <c r="P42" i="1"/>
  <c r="P46" i="1" s="1"/>
  <c r="M4" i="4" s="1"/>
  <c r="Q78" i="1"/>
  <c r="Q31" i="1" l="1"/>
  <c r="Q32" i="1" s="1"/>
  <c r="J23" i="2"/>
  <c r="M3" i="4"/>
  <c r="P81" i="1"/>
  <c r="T102" i="1"/>
  <c r="T33" i="1" s="1"/>
  <c r="T101" i="1"/>
  <c r="T50" i="1" s="1"/>
  <c r="T51" i="1" s="1"/>
  <c r="M9" i="2" s="1"/>
  <c r="Q64" i="1"/>
  <c r="Q96" i="1"/>
  <c r="P58" i="1"/>
  <c r="Q34" i="1" l="1"/>
  <c r="Q36" i="1" s="1"/>
  <c r="Q37" i="1" s="1"/>
  <c r="Q54" i="1" s="1"/>
  <c r="J6" i="2"/>
  <c r="J22" i="2"/>
  <c r="J26" i="2" s="1"/>
  <c r="J29" i="2" s="1"/>
  <c r="R93" i="1"/>
  <c r="Q45" i="1"/>
  <c r="Q63" i="1" l="1"/>
  <c r="Q66" i="1" s="1"/>
  <c r="Q77" i="1" s="1"/>
  <c r="Q79" i="1" s="1"/>
  <c r="Q42" i="1" s="1"/>
  <c r="Q46" i="1" s="1"/>
  <c r="N4" i="4" s="1"/>
  <c r="N9" i="4"/>
  <c r="N10" i="4"/>
  <c r="J7" i="2"/>
  <c r="J8" i="2"/>
  <c r="Q55" i="1"/>
  <c r="Q56" i="1" s="1"/>
  <c r="N5" i="4" s="1"/>
  <c r="R95" i="1"/>
  <c r="R30" i="1" s="1"/>
  <c r="R78" i="1" l="1"/>
  <c r="N3" i="4"/>
  <c r="R31" i="1"/>
  <c r="R32" i="1" s="1"/>
  <c r="K23" i="2"/>
  <c r="Q58" i="1"/>
  <c r="R96" i="1"/>
  <c r="R45" i="1" s="1"/>
  <c r="R64" i="1"/>
  <c r="Q81" i="1"/>
  <c r="S93" i="1" l="1"/>
  <c r="S95" i="1" s="1"/>
  <c r="S30" i="1" s="1"/>
  <c r="R34" i="1"/>
  <c r="R36" i="1" s="1"/>
  <c r="R37" i="1" s="1"/>
  <c r="K6" i="2"/>
  <c r="K22" i="2"/>
  <c r="K26" i="2" s="1"/>
  <c r="K29" i="2" s="1"/>
  <c r="S96" i="1" l="1"/>
  <c r="S45" i="1" s="1"/>
  <c r="O10" i="4"/>
  <c r="O9" i="4"/>
  <c r="K8" i="2"/>
  <c r="K7" i="2"/>
  <c r="S31" i="1"/>
  <c r="S32" i="1" s="1"/>
  <c r="L23" i="2"/>
  <c r="T93" i="1"/>
  <c r="S64" i="1"/>
  <c r="R63" i="1"/>
  <c r="R66" i="1" s="1"/>
  <c r="R77" i="1" s="1"/>
  <c r="R79" i="1" s="1"/>
  <c r="R54" i="1"/>
  <c r="S34" i="1" l="1"/>
  <c r="S36" i="1" s="1"/>
  <c r="S37" i="1" s="1"/>
  <c r="S7" i="5"/>
  <c r="L6" i="2"/>
  <c r="B37" i="2" s="1"/>
  <c r="B39" i="2" s="1"/>
  <c r="L22" i="2"/>
  <c r="L26" i="2" s="1"/>
  <c r="R55" i="1"/>
  <c r="S54" i="1"/>
  <c r="T95" i="1"/>
  <c r="T30" i="1" s="1"/>
  <c r="T31" i="1" s="1"/>
  <c r="T32" i="1" s="1"/>
  <c r="R42" i="1"/>
  <c r="R46" i="1" s="1"/>
  <c r="O4" i="4" s="1"/>
  <c r="S78" i="1"/>
  <c r="P10" i="4" l="1"/>
  <c r="P9" i="4"/>
  <c r="L36" i="2"/>
  <c r="B41" i="2"/>
  <c r="L34" i="2"/>
  <c r="B48" i="2"/>
  <c r="V29" i="5"/>
  <c r="V33" i="5" s="1"/>
  <c r="V35" i="5" s="1"/>
  <c r="D6" i="7" s="1"/>
  <c r="H6" i="7" s="1"/>
  <c r="U29" i="5"/>
  <c r="U33" i="5" s="1"/>
  <c r="U35" i="5" s="1"/>
  <c r="W29" i="5"/>
  <c r="W33" i="5" s="1"/>
  <c r="W35" i="5" s="1"/>
  <c r="S6" i="5"/>
  <c r="L8" i="2"/>
  <c r="L7" i="2"/>
  <c r="R56" i="1"/>
  <c r="O5" i="4" s="1"/>
  <c r="O3" i="4"/>
  <c r="T34" i="1"/>
  <c r="T36" i="1" s="1"/>
  <c r="T37" i="1" s="1"/>
  <c r="T63" i="1" s="1"/>
  <c r="T66" i="1" s="1"/>
  <c r="T77" i="1" s="1"/>
  <c r="M6" i="2"/>
  <c r="L29" i="2"/>
  <c r="B34" i="2" s="1"/>
  <c r="S63" i="1"/>
  <c r="S66" i="1" s="1"/>
  <c r="S77" i="1" s="1"/>
  <c r="S79" i="1" s="1"/>
  <c r="T78" i="1" s="1"/>
  <c r="R81" i="1"/>
  <c r="T96" i="1"/>
  <c r="T45" i="1" s="1"/>
  <c r="T64" i="1"/>
  <c r="S55" i="1"/>
  <c r="S56" i="1" s="1"/>
  <c r="P5" i="4" s="1"/>
  <c r="AA21" i="5" l="1"/>
  <c r="C6" i="7"/>
  <c r="AC21" i="5"/>
  <c r="E6" i="7"/>
  <c r="L38" i="2"/>
  <c r="AD72" i="2" s="1"/>
  <c r="B44" i="2"/>
  <c r="V72" i="2" s="1"/>
  <c r="P3" i="4"/>
  <c r="R58" i="1"/>
  <c r="M8" i="2"/>
  <c r="M7" i="2"/>
  <c r="C48" i="2"/>
  <c r="B51" i="2" s="1"/>
  <c r="B50" i="2"/>
  <c r="W19" i="5"/>
  <c r="W23" i="5" s="1"/>
  <c r="W25" i="5" s="1"/>
  <c r="U19" i="5"/>
  <c r="U23" i="5" s="1"/>
  <c r="U25" i="5" s="1"/>
  <c r="V19" i="5"/>
  <c r="V23" i="5" s="1"/>
  <c r="V25" i="5" s="1"/>
  <c r="D5" i="7" s="1"/>
  <c r="H5" i="7" s="1"/>
  <c r="H8" i="7" s="1"/>
  <c r="S42" i="1"/>
  <c r="S46" i="1" s="1"/>
  <c r="P4" i="4" s="1"/>
  <c r="T79" i="1"/>
  <c r="T42" i="1" s="1"/>
  <c r="T46" i="1" s="1"/>
  <c r="T54" i="1"/>
  <c r="T55" i="1" s="1"/>
  <c r="T56" i="1" s="1"/>
  <c r="S58" i="1" l="1"/>
  <c r="AB21" i="5"/>
  <c r="AA20" i="5"/>
  <c r="C5" i="7"/>
  <c r="G6" i="7"/>
  <c r="B17" i="7"/>
  <c r="I6" i="7"/>
  <c r="D17" i="7"/>
  <c r="C17" i="7" s="1"/>
  <c r="S81" i="1"/>
  <c r="AC20" i="5"/>
  <c r="E5" i="7"/>
  <c r="B35" i="2"/>
  <c r="L41" i="2"/>
  <c r="L44" i="2" s="1"/>
  <c r="B42" i="2"/>
  <c r="G34" i="2"/>
  <c r="G40" i="2" s="1"/>
  <c r="G44" i="2" s="1"/>
  <c r="V84" i="2" s="1"/>
  <c r="B52" i="2"/>
  <c r="C50" i="2" s="1"/>
  <c r="T58" i="1"/>
  <c r="T81" i="1"/>
  <c r="G5" i="7" l="1"/>
  <c r="G8" i="7" s="1"/>
  <c r="B19" i="7" s="1"/>
  <c r="B16" i="7"/>
  <c r="AB20" i="5"/>
  <c r="D16" i="7"/>
  <c r="I5" i="7"/>
  <c r="I8" i="7" s="1"/>
  <c r="D19" i="7" s="1"/>
  <c r="F49" i="2"/>
  <c r="F50" i="2" s="1"/>
  <c r="C56" i="2"/>
  <c r="C60" i="2" s="1"/>
  <c r="C64" i="2" s="1"/>
  <c r="C52" i="2"/>
  <c r="C51" i="2"/>
  <c r="C19" i="7" l="1"/>
  <c r="C16" i="7"/>
  <c r="C3" i="2" l="1"/>
</calcChain>
</file>

<file path=xl/sharedStrings.xml><?xml version="1.0" encoding="utf-8"?>
<sst xmlns="http://schemas.openxmlformats.org/spreadsheetml/2006/main" count="403" uniqueCount="217">
  <si>
    <t>Assumptions</t>
  </si>
  <si>
    <t>État des résultats</t>
  </si>
  <si>
    <t xml:space="preserve">Croissance des ventes </t>
  </si>
  <si>
    <t>Coût marchandises vendues (% des ventes)</t>
  </si>
  <si>
    <t>Frais d'administration</t>
  </si>
  <si>
    <t>Frais de vente</t>
  </si>
  <si>
    <t>Dépréciation et amortissement</t>
  </si>
  <si>
    <t>Interest (% de la dette)</t>
  </si>
  <si>
    <t xml:space="preserve">Taux imposition </t>
  </si>
  <si>
    <t>Bilan</t>
  </si>
  <si>
    <t>Comptes recevables (jours)</t>
  </si>
  <si>
    <t>Inventaire (jours)</t>
  </si>
  <si>
    <t>Comptes payables (jours)</t>
  </si>
  <si>
    <t>CAPEX</t>
  </si>
  <si>
    <t>Rachat de l'equity</t>
  </si>
  <si>
    <t>Ventes</t>
  </si>
  <si>
    <t>Coûts des marchandises vendues</t>
  </si>
  <si>
    <t>Bénéfice brut</t>
  </si>
  <si>
    <t>Intérêt</t>
  </si>
  <si>
    <t>Total des charges</t>
  </si>
  <si>
    <t>Charges</t>
  </si>
  <si>
    <t>Bénéfice avant impôt</t>
  </si>
  <si>
    <t>Impôt</t>
  </si>
  <si>
    <t>Bénéfice net</t>
  </si>
  <si>
    <t>Actifs</t>
  </si>
  <si>
    <t>Encaisse</t>
  </si>
  <si>
    <t>Comptes recevables</t>
  </si>
  <si>
    <t>Inventaire</t>
  </si>
  <si>
    <t>Immobilisation</t>
  </si>
  <si>
    <t>Total des actifs</t>
  </si>
  <si>
    <t>Passifs</t>
  </si>
  <si>
    <t>Comptes payables</t>
  </si>
  <si>
    <t>Dette</t>
  </si>
  <si>
    <t>Total des passifs</t>
  </si>
  <si>
    <t>Capitaux propres</t>
  </si>
  <si>
    <t>Equity capital</t>
  </si>
  <si>
    <t>Bénéfice non réparti</t>
  </si>
  <si>
    <t>Total des capitaux propres</t>
  </si>
  <si>
    <t>Total des passifs et des capitaux propres</t>
  </si>
  <si>
    <t>Check</t>
  </si>
  <si>
    <t>État des flux de trésorerie</t>
  </si>
  <si>
    <t>Operating Cash Flow</t>
  </si>
  <si>
    <t>Plus : Dépréciation et amortissement</t>
  </si>
  <si>
    <t>Moins : Changement dans le Working cap.</t>
  </si>
  <si>
    <t>Cash from Operations</t>
  </si>
  <si>
    <t>Investing Cash Flow</t>
  </si>
  <si>
    <t>Cash from investing</t>
  </si>
  <si>
    <t>Financial cash flow</t>
  </si>
  <si>
    <t>Émission (paiement) de la dette</t>
  </si>
  <si>
    <t>Émission (paiement) de capitaux propres</t>
  </si>
  <si>
    <t>Cash from financing</t>
  </si>
  <si>
    <t>Augmentation (diminution) de l'encaisse</t>
  </si>
  <si>
    <t>Encaisse au début</t>
  </si>
  <si>
    <t>Encaisse à la fin</t>
  </si>
  <si>
    <t>Supporting schedules</t>
  </si>
  <si>
    <t>Inventaires</t>
  </si>
  <si>
    <t>Changement in NWC</t>
  </si>
  <si>
    <t>Net working capital (NWC)</t>
  </si>
  <si>
    <t>Immobilisation au début</t>
  </si>
  <si>
    <t>Plus : CAPEX</t>
  </si>
  <si>
    <t>Moins : Dépréciation</t>
  </si>
  <si>
    <t>Immobilisation à la fin</t>
  </si>
  <si>
    <t>Dette au début</t>
  </si>
  <si>
    <t>Émission (paiement)</t>
  </si>
  <si>
    <t>Dette à la fin</t>
  </si>
  <si>
    <t>Dépense d'intérêt</t>
  </si>
  <si>
    <t>Working Capital Schedule</t>
  </si>
  <si>
    <t>Debt and interest Schedule</t>
  </si>
  <si>
    <t>Depreciation Schedule</t>
  </si>
  <si>
    <t>CAPEX (% Croissance des ventes)</t>
  </si>
  <si>
    <t>EBIT*(1-T)</t>
  </si>
  <si>
    <t>Moins : CAPEX</t>
  </si>
  <si>
    <t>Moins : Change in NWC</t>
  </si>
  <si>
    <t>Bénéfice avant intérêt et impôt</t>
  </si>
  <si>
    <t>Total des cash flows</t>
  </si>
  <si>
    <t>Model Summary</t>
  </si>
  <si>
    <t>Forecast Summary</t>
  </si>
  <si>
    <t>Expected Market Return</t>
  </si>
  <si>
    <t>Market Risk Premium</t>
  </si>
  <si>
    <t>Beta</t>
  </si>
  <si>
    <t>EBITDA</t>
  </si>
  <si>
    <t>CAPM Cost of Equity</t>
  </si>
  <si>
    <t>EBITDA Growth Rate</t>
  </si>
  <si>
    <t>Cost of Debt</t>
  </si>
  <si>
    <t>EBITDA Margin</t>
  </si>
  <si>
    <t>Total Debt Ending Balance</t>
  </si>
  <si>
    <t>After-tax Cost of Debt</t>
  </si>
  <si>
    <t>WACC</t>
  </si>
  <si>
    <t>Taux sans risque</t>
  </si>
  <si>
    <t>Taux d'imposition</t>
  </si>
  <si>
    <t>% Equity</t>
  </si>
  <si>
    <t>% Debt</t>
  </si>
  <si>
    <t>Cash flows actualisés</t>
  </si>
  <si>
    <t>Valeur terminale 2027</t>
  </si>
  <si>
    <t>Actualisée</t>
  </si>
  <si>
    <t>Valeur terminale actualisée</t>
  </si>
  <si>
    <t>Valeur totale de la firme</t>
  </si>
  <si>
    <t>Valeur marchande de l'equity</t>
  </si>
  <si>
    <t>Moins : Dette</t>
  </si>
  <si>
    <t>Plus : Encaisse</t>
  </si>
  <si>
    <t>= Valeur de l'equity</t>
  </si>
  <si>
    <t>Nombre d'actions ordinaires</t>
  </si>
  <si>
    <t>Valeur par action</t>
  </si>
  <si>
    <t>Sales Growth Rate</t>
  </si>
  <si>
    <t>Proportion cible</t>
  </si>
  <si>
    <t>Moins : Actions privilégiées</t>
  </si>
  <si>
    <t>Implied EV/EBITDA</t>
  </si>
  <si>
    <t>EV</t>
  </si>
  <si>
    <t>EV/EBITDA</t>
  </si>
  <si>
    <t>Proportion de la dette</t>
  </si>
  <si>
    <t>Coût de la dette</t>
  </si>
  <si>
    <t>Coût de l'equity</t>
  </si>
  <si>
    <t>ROE</t>
  </si>
  <si>
    <t>ROA</t>
  </si>
  <si>
    <t>ROCE</t>
  </si>
  <si>
    <t>Comparable Transaction Analysis</t>
  </si>
  <si>
    <t>Target</t>
  </si>
  <si>
    <t>Acquiror</t>
  </si>
  <si>
    <t>Date</t>
  </si>
  <si>
    <t>Transaction value</t>
  </si>
  <si>
    <t>Transaction value to :</t>
  </si>
  <si>
    <t>LTM EBITDA</t>
  </si>
  <si>
    <t>LTM EBIT</t>
  </si>
  <si>
    <t>LTM Sales</t>
  </si>
  <si>
    <t>Price/Book Value</t>
  </si>
  <si>
    <t>LTM</t>
  </si>
  <si>
    <t>EBIT         Margin</t>
  </si>
  <si>
    <t>3-Year Sales CAGR</t>
  </si>
  <si>
    <t>Critères de sélection des comparables</t>
  </si>
  <si>
    <t>Transaction récente</t>
  </si>
  <si>
    <t>Valeur similaire</t>
  </si>
  <si>
    <t>Taux de croissance des ventes</t>
  </si>
  <si>
    <t>NA</t>
  </si>
  <si>
    <t>Similarité dans les marges</t>
  </si>
  <si>
    <t>Maximum</t>
  </si>
  <si>
    <t>Moyenne</t>
  </si>
  <si>
    <t>Médiane</t>
  </si>
  <si>
    <t>Minimum</t>
  </si>
  <si>
    <t>LTM values</t>
  </si>
  <si>
    <t>EBIT</t>
  </si>
  <si>
    <t>Sales</t>
  </si>
  <si>
    <t>Moins : AP</t>
  </si>
  <si>
    <t>Plus : Cash</t>
  </si>
  <si>
    <t>= Equity Value</t>
  </si>
  <si>
    <t>Implied value per share</t>
  </si>
  <si>
    <t>Min</t>
  </si>
  <si>
    <t>Max</t>
  </si>
  <si>
    <t>Différence</t>
  </si>
  <si>
    <t>Firm / Analyst</t>
  </si>
  <si>
    <t>LTM EBITDA Multiple</t>
  </si>
  <si>
    <t>Revised Value Range</t>
  </si>
  <si>
    <t>BMO</t>
  </si>
  <si>
    <t>CIBC</t>
  </si>
  <si>
    <t>National Bank</t>
  </si>
  <si>
    <t>Analyst views</t>
  </si>
  <si>
    <t>Diff</t>
  </si>
  <si>
    <t>Desjardins</t>
  </si>
  <si>
    <t>TD Bank</t>
  </si>
  <si>
    <t>Global Analyst views</t>
  </si>
  <si>
    <t>Enterprise value</t>
  </si>
  <si>
    <t>Cumulative Present Value of FCF</t>
  </si>
  <si>
    <t>Terminal Value</t>
  </si>
  <si>
    <t>Terminal Year EBITDA (2028E)</t>
  </si>
  <si>
    <t>Exit Multiple</t>
  </si>
  <si>
    <t xml:space="preserve">     Terminal Value</t>
  </si>
  <si>
    <t>Discount Factor</t>
  </si>
  <si>
    <t xml:space="preserve">     Present value of Terminal Value</t>
  </si>
  <si>
    <t xml:space="preserve">     % of Enterprise Value</t>
  </si>
  <si>
    <t xml:space="preserve">     Enterprise Value</t>
  </si>
  <si>
    <t>Implied Equity Value and Share Price</t>
  </si>
  <si>
    <t>Enterprise Value</t>
  </si>
  <si>
    <t>Less : Total Debt</t>
  </si>
  <si>
    <t>Less : Preferred Securities</t>
  </si>
  <si>
    <t>Plus : Cash &amp; Equivalents</t>
  </si>
  <si>
    <t xml:space="preserve">    Implied Equity Value</t>
  </si>
  <si>
    <t>Shares Outstanding</t>
  </si>
  <si>
    <t>Implied Share Price</t>
  </si>
  <si>
    <t>Implied Perpetuity Growth Rate</t>
  </si>
  <si>
    <t>Terminal Year Free Cash Flow (2028E)</t>
  </si>
  <si>
    <t>LTM EBITDA (2018)</t>
  </si>
  <si>
    <t xml:space="preserve">     Implied Share Price</t>
  </si>
  <si>
    <t>En 2028</t>
  </si>
  <si>
    <r>
      <t xml:space="preserve">DCF model - </t>
    </r>
    <r>
      <rPr>
        <b/>
        <i/>
        <sz val="16"/>
        <color theme="1"/>
        <rFont val="Calibri"/>
        <family val="2"/>
        <scheme val="minor"/>
      </rPr>
      <t>Firm name</t>
    </r>
  </si>
  <si>
    <t>DCF analysis</t>
  </si>
  <si>
    <t>Importance accordée</t>
  </si>
  <si>
    <t>Imp accordée x Moyenne</t>
  </si>
  <si>
    <t>Imp accordée x Min</t>
  </si>
  <si>
    <t>Imp accordée x Maximum</t>
  </si>
  <si>
    <t>Fourchette cible</t>
  </si>
  <si>
    <t>BPA</t>
  </si>
  <si>
    <t>Marge brute</t>
  </si>
  <si>
    <t>Marge nette</t>
  </si>
  <si>
    <t>Remboursement dette</t>
  </si>
  <si>
    <t>Chiffre d'affaires</t>
  </si>
  <si>
    <t>Charges d'exploitation</t>
  </si>
  <si>
    <t>Amortissement</t>
  </si>
  <si>
    <t>Intérêts</t>
  </si>
  <si>
    <t>Bénéfice avant impôts</t>
  </si>
  <si>
    <t>Impôts</t>
  </si>
  <si>
    <t>Marge nette (en %)</t>
  </si>
  <si>
    <t>Coût des marchandises vendues</t>
  </si>
  <si>
    <t>Marge brute (en %)</t>
  </si>
  <si>
    <t>EBITDA Margin (en %)</t>
  </si>
  <si>
    <t>Dépréciation et amortissement (% des ventes)</t>
  </si>
  <si>
    <t>Dette à LT</t>
  </si>
  <si>
    <t>PMT annuel</t>
  </si>
  <si>
    <t>Nb. Années</t>
  </si>
  <si>
    <t>Tx d'intérêt</t>
  </si>
  <si>
    <t>Solde initial</t>
  </si>
  <si>
    <t>Paiement</t>
  </si>
  <si>
    <t>Capital</t>
  </si>
  <si>
    <t>Solde fin</t>
  </si>
  <si>
    <t>Total du passif</t>
  </si>
  <si>
    <t>Passif courant</t>
  </si>
  <si>
    <t>Dette LT</t>
  </si>
  <si>
    <t>FMFDR (% Croissance des ventes)</t>
  </si>
  <si>
    <t>EBITDA (2019)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</si>
</sst>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1">
    <numFmt numFmtId="44" formatCode="_ * #,##0.00_)\ &quot;$&quot;_ ;_ * \(#,##0.00\)\ &quot;$&quot;_ ;_ * &quot;-&quot;??_)\ &quot;$&quot;_ ;_ @_ "/>
    <numFmt numFmtId="164" formatCode="#,##0_);\(#,##0\)"/>
    <numFmt numFmtId="165" formatCode="0_);\(0\)"/>
    <numFmt numFmtId="166" formatCode="#,##0.00_);\(#,##0.00\)"/>
    <numFmt numFmtId="167" formatCode="0.0%"/>
    <numFmt numFmtId="168" formatCode="[$-409]d\-mmm\-yy;@"/>
    <numFmt numFmtId="169" formatCode="_-* #,##0_-;\-* #,##0_-;_-* &quot;-&quot;??_-;_-@_-"/>
    <numFmt numFmtId="170" formatCode="#,##0;[Red]\(#,##0\);\-"/>
    <numFmt numFmtId="171" formatCode="_(0.0%_);\(0.0%\);_(&quot;–&quot;_)_%;_(@_)_%"/>
    <numFmt numFmtId="172" formatCode="#,##0.0_);\(#,##0.0\)"/>
    <numFmt numFmtId="173" formatCode="0.0"/>
  </numFmts>
  <fonts count="2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11"/>
      <color rgb="FF0070C0"/>
      <name val="Calibri"/>
      <family val="2"/>
      <scheme val="minor"/>
    </font>
    <font>
      <b/>
      <sz val="11"/>
      <name val="Calibri"/>
      <family val="2"/>
      <scheme val="minor"/>
    </font>
    <font>
      <sz val="10"/>
      <name val="Arial"/>
      <family val="2"/>
    </font>
    <font>
      <sz val="8"/>
      <name val="Arial"/>
      <family val="2"/>
    </font>
    <font>
      <b/>
      <sz val="8"/>
      <name val="Arial"/>
      <family val="2"/>
    </font>
    <font>
      <sz val="10"/>
      <color indexed="12"/>
      <name val="Arial"/>
      <family val="2"/>
    </font>
    <font>
      <b/>
      <sz val="8"/>
      <color theme="0"/>
      <name val="Arial"/>
      <family val="2"/>
    </font>
    <font>
      <sz val="11"/>
      <color theme="0"/>
      <name val="Calibri"/>
      <family val="2"/>
      <scheme val="minor"/>
    </font>
    <font>
      <b/>
      <sz val="14"/>
      <color theme="0"/>
      <name val="Calibri"/>
      <family val="2"/>
      <scheme val="minor"/>
    </font>
    <font>
      <i/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i/>
      <sz val="16"/>
      <color theme="1"/>
      <name val="Calibri"/>
      <family val="2"/>
      <scheme val="minor"/>
    </font>
    <font>
      <sz val="11"/>
      <name val="Calibri"/>
      <family val="2"/>
      <scheme val="minor"/>
    </font>
    <font>
      <sz val="8"/>
      <color rgb="FF0070C0"/>
      <name val="Arial"/>
      <family val="2"/>
    </font>
    <font>
      <i/>
      <sz val="9"/>
      <color theme="1"/>
      <name val="Calibri"/>
      <family val="2"/>
      <scheme val="minor"/>
    </font>
  </fonts>
  <fills count="9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4" tint="-0.249977111117893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 tint="-0.34998626667073579"/>
        <bgColor indexed="64"/>
      </patternFill>
    </fill>
  </fills>
  <borders count="35">
    <border>
      <left/>
      <right/>
      <top/>
      <bottom/>
      <diagonal/>
    </border>
    <border>
      <left/>
      <right/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double">
        <color auto="1"/>
      </bottom>
      <diagonal/>
    </border>
    <border>
      <left/>
      <right/>
      <top/>
      <bottom style="medium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ck">
        <color auto="1"/>
      </left>
      <right style="thick">
        <color auto="1"/>
      </right>
      <top style="thick">
        <color auto="1"/>
      </top>
      <bottom style="thick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ck">
        <color auto="1"/>
      </bottom>
      <diagonal/>
    </border>
    <border>
      <left/>
      <right/>
      <top style="thin">
        <color auto="1"/>
      </top>
      <bottom style="thick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 style="medium">
        <color auto="1"/>
      </top>
      <bottom style="double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7">
    <xf numFmtId="0" fontId="0" fillId="0" borderId="0"/>
    <xf numFmtId="9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8" fillId="0" borderId="0">
      <alignment vertical="top"/>
    </xf>
    <xf numFmtId="0" fontId="8" fillId="0" borderId="0"/>
    <xf numFmtId="169" fontId="11" fillId="0" borderId="0" applyNumberFormat="0" applyFont="0" applyBorder="0" applyAlignment="0" applyProtection="0"/>
    <xf numFmtId="9" fontId="8" fillId="0" borderId="0" applyFont="0" applyFill="0" applyBorder="0" applyAlignment="0" applyProtection="0"/>
  </cellStyleXfs>
  <cellXfs count="296">
    <xf numFmtId="0" fontId="0" fillId="0" borderId="0" xfId="0"/>
    <xf numFmtId="0" fontId="3" fillId="0" borderId="1" xfId="0" applyFont="1" applyBorder="1"/>
    <xf numFmtId="164" fontId="0" fillId="0" borderId="0" xfId="0" applyNumberFormat="1"/>
    <xf numFmtId="0" fontId="0" fillId="0" borderId="0" xfId="0" applyAlignment="1">
      <alignment horizontal="center"/>
    </xf>
    <xf numFmtId="164" fontId="0" fillId="0" borderId="0" xfId="0" applyNumberFormat="1" applyAlignment="1">
      <alignment horizontal="center"/>
    </xf>
    <xf numFmtId="164" fontId="0" fillId="3" borderId="0" xfId="0" applyNumberFormat="1" applyFill="1" applyAlignment="1">
      <alignment horizontal="center"/>
    </xf>
    <xf numFmtId="164" fontId="3" fillId="0" borderId="1" xfId="0" applyNumberFormat="1" applyFont="1" applyBorder="1" applyAlignment="1">
      <alignment horizontal="center"/>
    </xf>
    <xf numFmtId="164" fontId="3" fillId="0" borderId="2" xfId="0" applyNumberFormat="1" applyFont="1" applyBorder="1" applyAlignment="1">
      <alignment horizontal="center"/>
    </xf>
    <xf numFmtId="164" fontId="3" fillId="0" borderId="3" xfId="0" applyNumberFormat="1" applyFont="1" applyBorder="1" applyAlignment="1">
      <alignment horizontal="center"/>
    </xf>
    <xf numFmtId="0" fontId="0" fillId="0" borderId="0" xfId="0" applyAlignment="1">
      <alignment horizontal="left"/>
    </xf>
    <xf numFmtId="164" fontId="0" fillId="0" borderId="0" xfId="0" applyNumberFormat="1" applyAlignment="1">
      <alignment horizontal="left"/>
    </xf>
    <xf numFmtId="164" fontId="3" fillId="0" borderId="0" xfId="0" applyNumberFormat="1" applyFont="1" applyAlignment="1">
      <alignment horizontal="left"/>
    </xf>
    <xf numFmtId="164" fontId="5" fillId="3" borderId="0" xfId="0" applyNumberFormat="1" applyFont="1" applyFill="1" applyAlignment="1">
      <alignment horizontal="left"/>
    </xf>
    <xf numFmtId="164" fontId="3" fillId="0" borderId="1" xfId="0" applyNumberFormat="1" applyFont="1" applyBorder="1" applyAlignment="1">
      <alignment horizontal="left"/>
    </xf>
    <xf numFmtId="164" fontId="3" fillId="0" borderId="2" xfId="0" applyNumberFormat="1" applyFont="1" applyBorder="1" applyAlignment="1">
      <alignment horizontal="left"/>
    </xf>
    <xf numFmtId="164" fontId="3" fillId="0" borderId="3" xfId="0" applyNumberFormat="1" applyFont="1" applyBorder="1" applyAlignment="1">
      <alignment horizontal="left"/>
    </xf>
    <xf numFmtId="165" fontId="2" fillId="3" borderId="0" xfId="0" applyNumberFormat="1" applyFont="1" applyFill="1" applyAlignment="1">
      <alignment horizontal="center"/>
    </xf>
    <xf numFmtId="164" fontId="0" fillId="0" borderId="3" xfId="0" applyNumberFormat="1" applyBorder="1" applyAlignment="1">
      <alignment horizontal="center"/>
    </xf>
    <xf numFmtId="164" fontId="0" fillId="0" borderId="1" xfId="0" applyNumberFormat="1" applyBorder="1" applyAlignment="1">
      <alignment horizontal="center"/>
    </xf>
    <xf numFmtId="164" fontId="0" fillId="0" borderId="2" xfId="0" applyNumberFormat="1" applyBorder="1" applyAlignment="1">
      <alignment horizontal="center"/>
    </xf>
    <xf numFmtId="166" fontId="0" fillId="0" borderId="0" xfId="0" applyNumberFormat="1" applyAlignment="1">
      <alignment horizontal="center"/>
    </xf>
    <xf numFmtId="164" fontId="6" fillId="0" borderId="0" xfId="0" applyNumberFormat="1" applyFont="1" applyAlignment="1">
      <alignment horizontal="center"/>
    </xf>
    <xf numFmtId="164" fontId="0" fillId="0" borderId="1" xfId="0" applyNumberFormat="1" applyBorder="1" applyAlignment="1">
      <alignment horizontal="left"/>
    </xf>
    <xf numFmtId="9" fontId="0" fillId="0" borderId="0" xfId="1" applyFont="1" applyAlignment="1">
      <alignment horizontal="center"/>
    </xf>
    <xf numFmtId="166" fontId="0" fillId="0" borderId="0" xfId="1" applyNumberFormat="1" applyFont="1" applyAlignment="1">
      <alignment horizontal="center"/>
    </xf>
    <xf numFmtId="167" fontId="0" fillId="0" borderId="0" xfId="1" applyNumberFormat="1" applyFont="1" applyAlignment="1">
      <alignment horizontal="center"/>
    </xf>
    <xf numFmtId="167" fontId="6" fillId="0" borderId="0" xfId="1" applyNumberFormat="1" applyFont="1" applyAlignment="1">
      <alignment horizontal="center"/>
    </xf>
    <xf numFmtId="165" fontId="2" fillId="4" borderId="0" xfId="0" applyNumberFormat="1" applyFont="1" applyFill="1" applyAlignment="1">
      <alignment horizontal="center"/>
    </xf>
    <xf numFmtId="0" fontId="0" fillId="0" borderId="0" xfId="0" applyFill="1" applyBorder="1" applyAlignment="1">
      <alignment horizontal="center"/>
    </xf>
    <xf numFmtId="164" fontId="0" fillId="0" borderId="0" xfId="0" applyNumberFormat="1" applyFill="1" applyBorder="1" applyAlignment="1">
      <alignment horizontal="center"/>
    </xf>
    <xf numFmtId="166" fontId="0" fillId="0" borderId="0" xfId="1" applyNumberFormat="1" applyFont="1" applyFill="1" applyBorder="1" applyAlignment="1">
      <alignment horizontal="center"/>
    </xf>
    <xf numFmtId="164" fontId="3" fillId="0" borderId="0" xfId="0" applyNumberFormat="1" applyFont="1" applyFill="1" applyBorder="1" applyAlignment="1">
      <alignment horizontal="center"/>
    </xf>
    <xf numFmtId="0" fontId="4" fillId="0" borderId="0" xfId="0" applyFont="1" applyAlignment="1">
      <alignment horizontal="left"/>
    </xf>
    <xf numFmtId="0" fontId="3" fillId="0" borderId="4" xfId="0" applyFont="1" applyBorder="1"/>
    <xf numFmtId="0" fontId="3" fillId="0" borderId="0" xfId="0" applyFont="1" applyBorder="1"/>
    <xf numFmtId="164" fontId="7" fillId="0" borderId="1" xfId="0" applyNumberFormat="1" applyFont="1" applyBorder="1" applyAlignment="1">
      <alignment horizontal="center"/>
    </xf>
    <xf numFmtId="164" fontId="3" fillId="5" borderId="1" xfId="0" applyNumberFormat="1" applyFont="1" applyFill="1" applyBorder="1" applyAlignment="1">
      <alignment horizontal="left"/>
    </xf>
    <xf numFmtId="164" fontId="3" fillId="5" borderId="1" xfId="0" applyNumberFormat="1" applyFont="1" applyFill="1" applyBorder="1" applyAlignment="1">
      <alignment horizontal="center"/>
    </xf>
    <xf numFmtId="164" fontId="7" fillId="5" borderId="1" xfId="0" applyNumberFormat="1" applyFont="1" applyFill="1" applyBorder="1" applyAlignment="1">
      <alignment horizontal="center"/>
    </xf>
    <xf numFmtId="164" fontId="3" fillId="5" borderId="3" xfId="0" applyNumberFormat="1" applyFont="1" applyFill="1" applyBorder="1" applyAlignment="1">
      <alignment horizontal="left"/>
    </xf>
    <xf numFmtId="164" fontId="3" fillId="5" borderId="3" xfId="0" applyNumberFormat="1" applyFont="1" applyFill="1" applyBorder="1" applyAlignment="1">
      <alignment horizontal="center"/>
    </xf>
    <xf numFmtId="0" fontId="8" fillId="0" borderId="0" xfId="3" applyFont="1" applyFill="1">
      <alignment vertical="top"/>
    </xf>
    <xf numFmtId="0" fontId="9" fillId="0" borderId="0" xfId="3" applyFont="1">
      <alignment vertical="top"/>
    </xf>
    <xf numFmtId="0" fontId="9" fillId="0" borderId="0" xfId="4" applyFont="1"/>
    <xf numFmtId="0" fontId="9" fillId="0" borderId="0" xfId="3" quotePrefix="1" applyFont="1">
      <alignment vertical="top"/>
    </xf>
    <xf numFmtId="0" fontId="10" fillId="0" borderId="4" xfId="4" applyFont="1" applyBorder="1"/>
    <xf numFmtId="0" fontId="9" fillId="0" borderId="0" xfId="4" applyFont="1" applyFill="1" applyBorder="1" applyAlignment="1">
      <alignment horizontal="left" indent="1"/>
    </xf>
    <xf numFmtId="171" fontId="9" fillId="6" borderId="0" xfId="4" applyNumberFormat="1" applyFont="1" applyFill="1" applyAlignment="1">
      <alignment horizontal="center"/>
    </xf>
    <xf numFmtId="165" fontId="12" fillId="3" borderId="4" xfId="4" applyNumberFormat="1" applyFont="1" applyFill="1" applyBorder="1" applyAlignment="1">
      <alignment horizontal="center"/>
    </xf>
    <xf numFmtId="0" fontId="12" fillId="3" borderId="4" xfId="4" applyFont="1" applyFill="1" applyBorder="1" applyAlignment="1">
      <alignment horizontal="center"/>
    </xf>
    <xf numFmtId="0" fontId="12" fillId="4" borderId="4" xfId="4" applyFont="1" applyFill="1" applyBorder="1" applyAlignment="1">
      <alignment horizontal="center"/>
    </xf>
    <xf numFmtId="0" fontId="9" fillId="0" borderId="0" xfId="3" applyFont="1" applyAlignment="1">
      <alignment vertical="center"/>
    </xf>
    <xf numFmtId="0" fontId="9" fillId="0" borderId="5" xfId="3" applyFont="1" applyBorder="1" applyAlignment="1">
      <alignment vertical="center"/>
    </xf>
    <xf numFmtId="0" fontId="10" fillId="0" borderId="0" xfId="3" applyFont="1" applyAlignment="1">
      <alignment vertical="center"/>
    </xf>
    <xf numFmtId="167" fontId="10" fillId="6" borderId="0" xfId="6" applyNumberFormat="1" applyFont="1" applyFill="1" applyBorder="1" applyAlignment="1">
      <alignment horizontal="center" vertical="center"/>
    </xf>
    <xf numFmtId="167" fontId="10" fillId="6" borderId="1" xfId="4" applyNumberFormat="1" applyFont="1" applyFill="1" applyBorder="1" applyAlignment="1">
      <alignment horizontal="center" vertical="center"/>
    </xf>
    <xf numFmtId="167" fontId="9" fillId="6" borderId="0" xfId="5" applyNumberFormat="1" applyFont="1" applyFill="1" applyBorder="1" applyAlignment="1">
      <alignment horizontal="center" vertical="center"/>
    </xf>
    <xf numFmtId="167" fontId="9" fillId="6" borderId="5" xfId="5" applyNumberFormat="1" applyFont="1" applyFill="1" applyBorder="1" applyAlignment="1">
      <alignment horizontal="center" vertical="center"/>
    </xf>
    <xf numFmtId="165" fontId="2" fillId="3" borderId="0" xfId="0" applyNumberFormat="1" applyFont="1" applyFill="1" applyAlignment="1">
      <alignment horizontal="center"/>
    </xf>
    <xf numFmtId="0" fontId="3" fillId="0" borderId="0" xfId="0" applyFont="1" applyAlignment="1">
      <alignment horizontal="center"/>
    </xf>
    <xf numFmtId="164" fontId="3" fillId="0" borderId="0" xfId="0" applyNumberFormat="1" applyFont="1" applyAlignment="1">
      <alignment horizontal="center"/>
    </xf>
    <xf numFmtId="0" fontId="3" fillId="0" borderId="0" xfId="0" applyFont="1"/>
    <xf numFmtId="0" fontId="3" fillId="0" borderId="3" xfId="0" applyFont="1" applyBorder="1"/>
    <xf numFmtId="9" fontId="3" fillId="0" borderId="3" xfId="1" applyFont="1" applyBorder="1" applyAlignment="1">
      <alignment horizontal="center"/>
    </xf>
    <xf numFmtId="170" fontId="0" fillId="0" borderId="0" xfId="0" applyNumberFormat="1" applyAlignment="1">
      <alignment horizontal="center"/>
    </xf>
    <xf numFmtId="0" fontId="3" fillId="0" borderId="0" xfId="0" quotePrefix="1" applyFont="1"/>
    <xf numFmtId="167" fontId="10" fillId="0" borderId="0" xfId="4" applyNumberFormat="1" applyFont="1" applyFill="1" applyBorder="1" applyAlignment="1">
      <alignment horizontal="center" vertical="center"/>
    </xf>
    <xf numFmtId="0" fontId="3" fillId="7" borderId="2" xfId="0" applyFont="1" applyFill="1" applyBorder="1" applyAlignment="1"/>
    <xf numFmtId="44" fontId="0" fillId="2" borderId="6" xfId="2" applyFont="1" applyFill="1" applyBorder="1" applyAlignment="1">
      <alignment horizontal="center"/>
    </xf>
    <xf numFmtId="167" fontId="10" fillId="2" borderId="6" xfId="4" applyNumberFormat="1" applyFont="1" applyFill="1" applyBorder="1" applyAlignment="1">
      <alignment horizontal="center" vertical="center"/>
    </xf>
    <xf numFmtId="172" fontId="0" fillId="0" borderId="0" xfId="0" applyNumberFormat="1" applyAlignment="1">
      <alignment horizontal="center"/>
    </xf>
    <xf numFmtId="166" fontId="3" fillId="0" borderId="0" xfId="0" applyNumberFormat="1" applyFont="1" applyAlignment="1">
      <alignment horizontal="center"/>
    </xf>
    <xf numFmtId="9" fontId="0" fillId="0" borderId="0" xfId="0" applyNumberFormat="1"/>
    <xf numFmtId="9" fontId="0" fillId="0" borderId="0" xfId="0" applyNumberFormat="1" applyAlignment="1">
      <alignment horizontal="center"/>
    </xf>
    <xf numFmtId="10" fontId="0" fillId="0" borderId="0" xfId="0" applyNumberFormat="1"/>
    <xf numFmtId="10" fontId="0" fillId="0" borderId="0" xfId="0" applyNumberFormat="1" applyAlignment="1">
      <alignment horizontal="center"/>
    </xf>
    <xf numFmtId="167" fontId="13" fillId="0" borderId="0" xfId="0" applyNumberFormat="1" applyFont="1"/>
    <xf numFmtId="10" fontId="0" fillId="0" borderId="0" xfId="1" applyNumberFormat="1" applyFont="1" applyAlignment="1">
      <alignment horizontal="center"/>
    </xf>
    <xf numFmtId="10" fontId="0" fillId="0" borderId="7" xfId="1" applyNumberFormat="1" applyFont="1" applyBorder="1" applyAlignment="1">
      <alignment horizontal="center"/>
    </xf>
    <xf numFmtId="10" fontId="0" fillId="0" borderId="9" xfId="1" applyNumberFormat="1" applyFont="1" applyBorder="1" applyAlignment="1">
      <alignment horizontal="center"/>
    </xf>
    <xf numFmtId="10" fontId="0" fillId="0" borderId="10" xfId="1" applyNumberFormat="1" applyFont="1" applyBorder="1" applyAlignment="1">
      <alignment horizontal="center"/>
    </xf>
    <xf numFmtId="10" fontId="0" fillId="0" borderId="11" xfId="1" applyNumberFormat="1" applyFont="1" applyBorder="1" applyAlignment="1">
      <alignment horizontal="center"/>
    </xf>
    <xf numFmtId="10" fontId="0" fillId="0" borderId="12" xfId="1" applyNumberFormat="1" applyFont="1" applyBorder="1" applyAlignment="1">
      <alignment horizontal="center"/>
    </xf>
    <xf numFmtId="10" fontId="0" fillId="0" borderId="13" xfId="1" applyNumberFormat="1" applyFont="1" applyBorder="1" applyAlignment="1">
      <alignment horizontal="center"/>
    </xf>
    <xf numFmtId="10" fontId="0" fillId="0" borderId="14" xfId="1" applyNumberFormat="1" applyFont="1" applyBorder="1" applyAlignment="1">
      <alignment horizontal="center"/>
    </xf>
    <xf numFmtId="10" fontId="0" fillId="0" borderId="4" xfId="1" applyNumberFormat="1" applyFont="1" applyBorder="1" applyAlignment="1">
      <alignment horizontal="center"/>
    </xf>
    <xf numFmtId="10" fontId="0" fillId="0" borderId="15" xfId="1" applyNumberFormat="1" applyFont="1" applyBorder="1" applyAlignment="1">
      <alignment horizontal="center"/>
    </xf>
    <xf numFmtId="10" fontId="0" fillId="0" borderId="19" xfId="1" applyNumberFormat="1" applyFont="1" applyBorder="1" applyAlignment="1">
      <alignment horizontal="center"/>
    </xf>
    <xf numFmtId="10" fontId="0" fillId="0" borderId="5" xfId="1" applyNumberFormat="1" applyFont="1" applyBorder="1" applyAlignment="1">
      <alignment horizontal="center"/>
    </xf>
    <xf numFmtId="10" fontId="0" fillId="0" borderId="21" xfId="1" applyNumberFormat="1" applyFont="1" applyBorder="1" applyAlignment="1">
      <alignment horizontal="center"/>
    </xf>
    <xf numFmtId="10" fontId="0" fillId="0" borderId="0" xfId="1" applyNumberFormat="1" applyFont="1" applyBorder="1" applyAlignment="1">
      <alignment horizontal="center"/>
    </xf>
    <xf numFmtId="9" fontId="0" fillId="5" borderId="17" xfId="0" applyNumberFormat="1" applyFill="1" applyBorder="1" applyAlignment="1">
      <alignment horizontal="center"/>
    </xf>
    <xf numFmtId="10" fontId="0" fillId="5" borderId="19" xfId="0" applyNumberFormat="1" applyFill="1" applyBorder="1" applyAlignment="1">
      <alignment horizontal="center"/>
    </xf>
    <xf numFmtId="9" fontId="0" fillId="5" borderId="19" xfId="0" applyNumberFormat="1" applyFill="1" applyBorder="1" applyAlignment="1">
      <alignment horizontal="center"/>
    </xf>
    <xf numFmtId="9" fontId="0" fillId="5" borderId="21" xfId="0" applyNumberFormat="1" applyFill="1" applyBorder="1" applyAlignment="1">
      <alignment horizontal="center"/>
    </xf>
    <xf numFmtId="9" fontId="0" fillId="5" borderId="22" xfId="0" applyNumberFormat="1" applyFill="1" applyBorder="1" applyAlignment="1">
      <alignment horizontal="center"/>
    </xf>
    <xf numFmtId="9" fontId="0" fillId="5" borderId="2" xfId="0" applyNumberFormat="1" applyFill="1" applyBorder="1" applyAlignment="1">
      <alignment horizontal="center"/>
    </xf>
    <xf numFmtId="9" fontId="0" fillId="5" borderId="23" xfId="0" applyNumberFormat="1" applyFill="1" applyBorder="1" applyAlignment="1">
      <alignment horizontal="center"/>
    </xf>
    <xf numFmtId="0" fontId="3" fillId="5" borderId="22" xfId="0" applyFont="1" applyFill="1" applyBorder="1"/>
    <xf numFmtId="164" fontId="3" fillId="5" borderId="2" xfId="0" applyNumberFormat="1" applyFont="1" applyFill="1" applyBorder="1" applyAlignment="1">
      <alignment horizontal="center"/>
    </xf>
    <xf numFmtId="164" fontId="3" fillId="5" borderId="23" xfId="0" applyNumberFormat="1" applyFont="1" applyFill="1" applyBorder="1" applyAlignment="1">
      <alignment horizontal="center"/>
    </xf>
    <xf numFmtId="165" fontId="2" fillId="3" borderId="22" xfId="0" applyNumberFormat="1" applyFont="1" applyFill="1" applyBorder="1" applyAlignment="1">
      <alignment horizontal="center"/>
    </xf>
    <xf numFmtId="165" fontId="2" fillId="3" borderId="2" xfId="0" applyNumberFormat="1" applyFont="1" applyFill="1" applyBorder="1" applyAlignment="1">
      <alignment horizontal="center"/>
    </xf>
    <xf numFmtId="165" fontId="2" fillId="3" borderId="23" xfId="0" applyNumberFormat="1" applyFont="1" applyFill="1" applyBorder="1" applyAlignment="1">
      <alignment horizontal="center"/>
    </xf>
    <xf numFmtId="0" fontId="3" fillId="0" borderId="22" xfId="0" applyFont="1" applyBorder="1" applyAlignment="1">
      <alignment horizontal="center"/>
    </xf>
    <xf numFmtId="0" fontId="3" fillId="0" borderId="2" xfId="0" applyFont="1" applyBorder="1" applyAlignment="1">
      <alignment horizontal="center"/>
    </xf>
    <xf numFmtId="0" fontId="3" fillId="0" borderId="23" xfId="0" applyFont="1" applyBorder="1" applyAlignment="1">
      <alignment horizontal="center"/>
    </xf>
    <xf numFmtId="0" fontId="0" fillId="0" borderId="5" xfId="0" applyBorder="1"/>
    <xf numFmtId="0" fontId="0" fillId="0" borderId="5" xfId="0" applyBorder="1" applyAlignment="1">
      <alignment horizontal="center"/>
    </xf>
    <xf numFmtId="0" fontId="0" fillId="0" borderId="0" xfId="0" applyAlignment="1">
      <alignment horizontal="center" wrapText="1"/>
    </xf>
    <xf numFmtId="0" fontId="0" fillId="0" borderId="0" xfId="0" applyAlignment="1"/>
    <xf numFmtId="0" fontId="0" fillId="0" borderId="5" xfId="0" applyBorder="1" applyAlignment="1">
      <alignment horizontal="center" wrapText="1"/>
    </xf>
    <xf numFmtId="165" fontId="14" fillId="0" borderId="0" xfId="0" applyNumberFormat="1" applyFont="1" applyFill="1" applyAlignment="1">
      <alignment horizontal="center"/>
    </xf>
    <xf numFmtId="0" fontId="0" fillId="0" borderId="5" xfId="0" applyFont="1" applyBorder="1" applyAlignment="1">
      <alignment horizontal="center" wrapText="1"/>
    </xf>
    <xf numFmtId="0" fontId="0" fillId="0" borderId="1" xfId="0" applyBorder="1" applyAlignment="1">
      <alignment horizontal="center"/>
    </xf>
    <xf numFmtId="10" fontId="3" fillId="0" borderId="0" xfId="1" applyNumberFormat="1" applyFont="1" applyAlignment="1">
      <alignment horizontal="center"/>
    </xf>
    <xf numFmtId="0" fontId="0" fillId="0" borderId="0" xfId="0" applyFont="1" applyAlignment="1">
      <alignment horizontal="center"/>
    </xf>
    <xf numFmtId="10" fontId="1" fillId="0" borderId="0" xfId="1" applyNumberFormat="1" applyFont="1" applyAlignment="1">
      <alignment horizontal="center"/>
    </xf>
    <xf numFmtId="0" fontId="0" fillId="0" borderId="1" xfId="0" applyBorder="1"/>
    <xf numFmtId="9" fontId="0" fillId="0" borderId="1" xfId="1" applyFont="1" applyBorder="1" applyAlignment="1">
      <alignment horizontal="center"/>
    </xf>
    <xf numFmtId="0" fontId="3" fillId="0" borderId="5" xfId="0" applyFont="1" applyBorder="1"/>
    <xf numFmtId="9" fontId="0" fillId="0" borderId="5" xfId="1" applyFont="1" applyBorder="1" applyAlignment="1">
      <alignment horizontal="center"/>
    </xf>
    <xf numFmtId="2" fontId="0" fillId="0" borderId="5" xfId="0" applyNumberFormat="1" applyBorder="1" applyAlignment="1">
      <alignment horizontal="center"/>
    </xf>
    <xf numFmtId="165" fontId="2" fillId="0" borderId="0" xfId="0" applyNumberFormat="1" applyFont="1" applyFill="1" applyBorder="1" applyAlignment="1"/>
    <xf numFmtId="0" fontId="0" fillId="0" borderId="0" xfId="0" quotePrefix="1"/>
    <xf numFmtId="0" fontId="0" fillId="5" borderId="6" xfId="0" applyFill="1" applyBorder="1"/>
    <xf numFmtId="3" fontId="0" fillId="6" borderId="6" xfId="0" applyNumberFormat="1" applyFill="1" applyBorder="1"/>
    <xf numFmtId="166" fontId="0" fillId="0" borderId="0" xfId="0" applyNumberFormat="1"/>
    <xf numFmtId="0" fontId="3" fillId="5" borderId="3" xfId="0" applyFont="1" applyFill="1" applyBorder="1"/>
    <xf numFmtId="166" fontId="3" fillId="5" borderId="3" xfId="0" applyNumberFormat="1" applyFont="1" applyFill="1" applyBorder="1" applyAlignment="1">
      <alignment horizontal="center"/>
    </xf>
    <xf numFmtId="172" fontId="0" fillId="0" borderId="1" xfId="0" applyNumberFormat="1" applyBorder="1" applyAlignment="1">
      <alignment horizontal="center"/>
    </xf>
    <xf numFmtId="164" fontId="0" fillId="0" borderId="5" xfId="0" applyNumberFormat="1" applyBorder="1" applyAlignment="1">
      <alignment horizontal="center"/>
    </xf>
    <xf numFmtId="172" fontId="0" fillId="0" borderId="5" xfId="0" applyNumberFormat="1" applyBorder="1" applyAlignment="1">
      <alignment horizontal="center"/>
    </xf>
    <xf numFmtId="164" fontId="3" fillId="0" borderId="5" xfId="0" applyNumberFormat="1" applyFont="1" applyBorder="1" applyAlignment="1">
      <alignment horizontal="center"/>
    </xf>
    <xf numFmtId="172" fontId="3" fillId="0" borderId="1" xfId="0" applyNumberFormat="1" applyFont="1" applyBorder="1" applyAlignment="1">
      <alignment horizontal="center"/>
    </xf>
    <xf numFmtId="172" fontId="3" fillId="0" borderId="5" xfId="0" applyNumberFormat="1" applyFont="1" applyBorder="1" applyAlignment="1">
      <alignment horizontal="center"/>
    </xf>
    <xf numFmtId="164" fontId="2" fillId="3" borderId="2" xfId="0" applyNumberFormat="1" applyFont="1" applyFill="1" applyBorder="1" applyAlignment="1">
      <alignment horizontal="center" wrapText="1"/>
    </xf>
    <xf numFmtId="0" fontId="15" fillId="0" borderId="0" xfId="0" applyFont="1"/>
    <xf numFmtId="0" fontId="3" fillId="5" borderId="2" xfId="0" applyFont="1" applyFill="1" applyBorder="1"/>
    <xf numFmtId="0" fontId="0" fillId="0" borderId="24" xfId="0" applyBorder="1"/>
    <xf numFmtId="164" fontId="0" fillId="5" borderId="0" xfId="0" applyNumberFormat="1" applyFill="1" applyAlignment="1">
      <alignment horizontal="center"/>
    </xf>
    <xf numFmtId="164" fontId="0" fillId="5" borderId="5" xfId="0" applyNumberFormat="1" applyFill="1" applyBorder="1" applyAlignment="1">
      <alignment horizontal="center"/>
    </xf>
    <xf numFmtId="0" fontId="3" fillId="0" borderId="0" xfId="0" applyFont="1" applyAlignment="1">
      <alignment horizontal="left"/>
    </xf>
    <xf numFmtId="167" fontId="9" fillId="0" borderId="0" xfId="5" applyNumberFormat="1" applyFont="1" applyFill="1" applyBorder="1" applyAlignment="1">
      <alignment horizontal="center" vertical="center"/>
    </xf>
    <xf numFmtId="10" fontId="9" fillId="0" borderId="0" xfId="4" applyNumberFormat="1" applyFont="1" applyFill="1" applyBorder="1" applyAlignment="1">
      <alignment horizontal="center" vertical="center"/>
    </xf>
    <xf numFmtId="0" fontId="9" fillId="0" borderId="0" xfId="3" applyFont="1" applyFill="1" applyBorder="1" applyAlignment="1">
      <alignment vertical="center"/>
    </xf>
    <xf numFmtId="0" fontId="10" fillId="0" borderId="0" xfId="3" applyFont="1" applyFill="1" applyBorder="1" applyAlignment="1">
      <alignment vertical="center"/>
    </xf>
    <xf numFmtId="0" fontId="3" fillId="0" borderId="0" xfId="0" applyFont="1" applyFill="1" applyBorder="1" applyAlignment="1"/>
    <xf numFmtId="168" fontId="10" fillId="0" borderId="5" xfId="4" applyNumberFormat="1" applyFont="1" applyBorder="1" applyAlignment="1"/>
    <xf numFmtId="0" fontId="10" fillId="0" borderId="0" xfId="4" applyFont="1" applyFill="1" applyBorder="1"/>
    <xf numFmtId="170" fontId="10" fillId="6" borderId="0" xfId="4" applyNumberFormat="1" applyFont="1" applyFill="1" applyAlignment="1">
      <alignment horizontal="center"/>
    </xf>
    <xf numFmtId="3" fontId="3" fillId="0" borderId="1" xfId="0" applyNumberFormat="1" applyFont="1" applyBorder="1" applyAlignment="1">
      <alignment horizontal="center"/>
    </xf>
    <xf numFmtId="3" fontId="3" fillId="0" borderId="0" xfId="0" applyNumberFormat="1" applyFont="1" applyBorder="1" applyAlignment="1">
      <alignment horizontal="center"/>
    </xf>
    <xf numFmtId="164" fontId="3" fillId="8" borderId="6" xfId="0" applyNumberFormat="1" applyFont="1" applyFill="1" applyBorder="1" applyAlignment="1">
      <alignment horizontal="center"/>
    </xf>
    <xf numFmtId="9" fontId="15" fillId="0" borderId="0" xfId="1" applyFont="1" applyAlignment="1">
      <alignment horizontal="center"/>
    </xf>
    <xf numFmtId="2" fontId="3" fillId="8" borderId="6" xfId="0" applyNumberFormat="1" applyFont="1" applyFill="1" applyBorder="1" applyAlignment="1">
      <alignment horizontal="center"/>
    </xf>
    <xf numFmtId="10" fontId="3" fillId="8" borderId="6" xfId="1" applyNumberFormat="1" applyFont="1" applyFill="1" applyBorder="1" applyAlignment="1">
      <alignment horizontal="center"/>
    </xf>
    <xf numFmtId="0" fontId="16" fillId="0" borderId="4" xfId="0" applyFont="1" applyBorder="1"/>
    <xf numFmtId="173" fontId="0" fillId="0" borderId="0" xfId="0" applyNumberFormat="1"/>
    <xf numFmtId="0" fontId="0" fillId="0" borderId="25" xfId="0" applyBorder="1"/>
    <xf numFmtId="173" fontId="0" fillId="5" borderId="22" xfId="0" applyNumberFormat="1" applyFill="1" applyBorder="1" applyAlignment="1">
      <alignment horizontal="center"/>
    </xf>
    <xf numFmtId="173" fontId="0" fillId="5" borderId="2" xfId="0" applyNumberFormat="1" applyFill="1" applyBorder="1" applyAlignment="1">
      <alignment horizontal="center"/>
    </xf>
    <xf numFmtId="173" fontId="0" fillId="5" borderId="23" xfId="0" applyNumberFormat="1" applyFill="1" applyBorder="1" applyAlignment="1">
      <alignment horizontal="center"/>
    </xf>
    <xf numFmtId="164" fontId="0" fillId="0" borderId="0" xfId="1" applyNumberFormat="1" applyFont="1" applyBorder="1" applyAlignment="1">
      <alignment horizontal="center"/>
    </xf>
    <xf numFmtId="164" fontId="0" fillId="0" borderId="19" xfId="1" applyNumberFormat="1" applyFont="1" applyBorder="1" applyAlignment="1">
      <alignment horizontal="center"/>
    </xf>
    <xf numFmtId="164" fontId="0" fillId="0" borderId="9" xfId="1" applyNumberFormat="1" applyFont="1" applyBorder="1" applyAlignment="1">
      <alignment horizontal="center"/>
    </xf>
    <xf numFmtId="164" fontId="0" fillId="0" borderId="10" xfId="1" applyNumberFormat="1" applyFont="1" applyBorder="1" applyAlignment="1">
      <alignment horizontal="center"/>
    </xf>
    <xf numFmtId="164" fontId="0" fillId="0" borderId="11" xfId="1" applyNumberFormat="1" applyFont="1" applyBorder="1" applyAlignment="1">
      <alignment horizontal="center"/>
    </xf>
    <xf numFmtId="164" fontId="0" fillId="0" borderId="12" xfId="1" applyNumberFormat="1" applyFont="1" applyBorder="1" applyAlignment="1">
      <alignment horizontal="center"/>
    </xf>
    <xf numFmtId="164" fontId="0" fillId="0" borderId="7" xfId="1" applyNumberFormat="1" applyFont="1" applyBorder="1" applyAlignment="1">
      <alignment horizontal="center"/>
    </xf>
    <xf numFmtId="164" fontId="0" fillId="0" borderId="13" xfId="1" applyNumberFormat="1" applyFont="1" applyBorder="1" applyAlignment="1">
      <alignment horizontal="center"/>
    </xf>
    <xf numFmtId="164" fontId="0" fillId="0" borderId="14" xfId="1" applyNumberFormat="1" applyFont="1" applyBorder="1" applyAlignment="1">
      <alignment horizontal="center"/>
    </xf>
    <xf numFmtId="164" fontId="0" fillId="0" borderId="4" xfId="1" applyNumberFormat="1" applyFont="1" applyBorder="1" applyAlignment="1">
      <alignment horizontal="center"/>
    </xf>
    <xf numFmtId="164" fontId="0" fillId="0" borderId="15" xfId="1" applyNumberFormat="1" applyFont="1" applyBorder="1" applyAlignment="1">
      <alignment horizontal="center"/>
    </xf>
    <xf numFmtId="164" fontId="0" fillId="0" borderId="5" xfId="1" applyNumberFormat="1" applyFont="1" applyBorder="1" applyAlignment="1">
      <alignment horizontal="center"/>
    </xf>
    <xf numFmtId="164" fontId="0" fillId="0" borderId="21" xfId="1" applyNumberFormat="1" applyFont="1" applyBorder="1" applyAlignment="1">
      <alignment horizontal="center"/>
    </xf>
    <xf numFmtId="167" fontId="0" fillId="0" borderId="0" xfId="1" applyNumberFormat="1" applyFont="1" applyBorder="1" applyAlignment="1">
      <alignment horizontal="center"/>
    </xf>
    <xf numFmtId="167" fontId="0" fillId="0" borderId="19" xfId="1" applyNumberFormat="1" applyFont="1" applyBorder="1" applyAlignment="1">
      <alignment horizontal="center"/>
    </xf>
    <xf numFmtId="167" fontId="0" fillId="0" borderId="9" xfId="1" applyNumberFormat="1" applyFont="1" applyBorder="1" applyAlignment="1">
      <alignment horizontal="center"/>
    </xf>
    <xf numFmtId="167" fontId="0" fillId="0" borderId="10" xfId="1" applyNumberFormat="1" applyFont="1" applyBorder="1" applyAlignment="1">
      <alignment horizontal="center"/>
    </xf>
    <xf numFmtId="167" fontId="0" fillId="0" borderId="11" xfId="1" applyNumberFormat="1" applyFont="1" applyBorder="1" applyAlignment="1">
      <alignment horizontal="center"/>
    </xf>
    <xf numFmtId="167" fontId="0" fillId="0" borderId="12" xfId="1" applyNumberFormat="1" applyFont="1" applyBorder="1" applyAlignment="1">
      <alignment horizontal="center"/>
    </xf>
    <xf numFmtId="167" fontId="0" fillId="0" borderId="7" xfId="1" applyNumberFormat="1" applyFont="1" applyBorder="1" applyAlignment="1">
      <alignment horizontal="center"/>
    </xf>
    <xf numFmtId="167" fontId="0" fillId="0" borderId="13" xfId="1" applyNumberFormat="1" applyFont="1" applyBorder="1" applyAlignment="1">
      <alignment horizontal="center"/>
    </xf>
    <xf numFmtId="167" fontId="0" fillId="0" borderId="14" xfId="1" applyNumberFormat="1" applyFont="1" applyBorder="1" applyAlignment="1">
      <alignment horizontal="center"/>
    </xf>
    <xf numFmtId="167" fontId="0" fillId="0" borderId="4" xfId="1" applyNumberFormat="1" applyFont="1" applyBorder="1" applyAlignment="1">
      <alignment horizontal="center"/>
    </xf>
    <xf numFmtId="167" fontId="0" fillId="0" borderId="15" xfId="1" applyNumberFormat="1" applyFont="1" applyBorder="1" applyAlignment="1">
      <alignment horizontal="center"/>
    </xf>
    <xf numFmtId="167" fontId="0" fillId="0" borderId="5" xfId="1" applyNumberFormat="1" applyFont="1" applyBorder="1" applyAlignment="1">
      <alignment horizontal="center"/>
    </xf>
    <xf numFmtId="167" fontId="0" fillId="0" borderId="21" xfId="1" applyNumberFormat="1" applyFont="1" applyBorder="1" applyAlignment="1">
      <alignment horizontal="center"/>
    </xf>
    <xf numFmtId="166" fontId="0" fillId="0" borderId="0" xfId="1" applyNumberFormat="1" applyFont="1" applyBorder="1" applyAlignment="1">
      <alignment horizontal="center"/>
    </xf>
    <xf numFmtId="166" fontId="0" fillId="0" borderId="19" xfId="1" applyNumberFormat="1" applyFont="1" applyBorder="1" applyAlignment="1">
      <alignment horizontal="center"/>
    </xf>
    <xf numFmtId="166" fontId="0" fillId="0" borderId="9" xfId="1" applyNumberFormat="1" applyFont="1" applyBorder="1" applyAlignment="1">
      <alignment horizontal="center"/>
    </xf>
    <xf numFmtId="166" fontId="0" fillId="0" borderId="10" xfId="1" applyNumberFormat="1" applyFont="1" applyBorder="1" applyAlignment="1">
      <alignment horizontal="center"/>
    </xf>
    <xf numFmtId="166" fontId="0" fillId="0" borderId="11" xfId="1" applyNumberFormat="1" applyFont="1" applyBorder="1" applyAlignment="1">
      <alignment horizontal="center"/>
    </xf>
    <xf numFmtId="166" fontId="0" fillId="0" borderId="12" xfId="1" applyNumberFormat="1" applyFont="1" applyBorder="1" applyAlignment="1">
      <alignment horizontal="center"/>
    </xf>
    <xf numFmtId="166" fontId="0" fillId="0" borderId="7" xfId="1" applyNumberFormat="1" applyFont="1" applyBorder="1" applyAlignment="1">
      <alignment horizontal="center"/>
    </xf>
    <xf numFmtId="166" fontId="0" fillId="0" borderId="13" xfId="1" applyNumberFormat="1" applyFont="1" applyBorder="1" applyAlignment="1">
      <alignment horizontal="center"/>
    </xf>
    <xf numFmtId="166" fontId="0" fillId="0" borderId="14" xfId="1" applyNumberFormat="1" applyFont="1" applyBorder="1" applyAlignment="1">
      <alignment horizontal="center"/>
    </xf>
    <xf numFmtId="166" fontId="0" fillId="0" borderId="4" xfId="1" applyNumberFormat="1" applyFont="1" applyBorder="1" applyAlignment="1">
      <alignment horizontal="center"/>
    </xf>
    <xf numFmtId="166" fontId="0" fillId="0" borderId="15" xfId="1" applyNumberFormat="1" applyFont="1" applyBorder="1" applyAlignment="1">
      <alignment horizontal="center"/>
    </xf>
    <xf numFmtId="166" fontId="0" fillId="0" borderId="5" xfId="1" applyNumberFormat="1" applyFont="1" applyBorder="1" applyAlignment="1">
      <alignment horizontal="center"/>
    </xf>
    <xf numFmtId="166" fontId="0" fillId="0" borderId="21" xfId="1" applyNumberFormat="1" applyFont="1" applyBorder="1" applyAlignment="1">
      <alignment horizontal="center"/>
    </xf>
    <xf numFmtId="0" fontId="0" fillId="0" borderId="26" xfId="0" applyBorder="1" applyAlignment="1">
      <alignment horizontal="center"/>
    </xf>
    <xf numFmtId="2" fontId="0" fillId="0" borderId="0" xfId="0" applyNumberFormat="1" applyAlignment="1">
      <alignment horizontal="center"/>
    </xf>
    <xf numFmtId="173" fontId="0" fillId="0" borderId="0" xfId="0" applyNumberFormat="1" applyAlignment="1">
      <alignment horizontal="center"/>
    </xf>
    <xf numFmtId="0" fontId="3" fillId="5" borderId="8" xfId="0" applyFont="1" applyFill="1" applyBorder="1" applyAlignment="1">
      <alignment horizontal="center" wrapText="1"/>
    </xf>
    <xf numFmtId="9" fontId="0" fillId="5" borderId="27" xfId="1" applyFont="1" applyFill="1" applyBorder="1" applyAlignment="1">
      <alignment horizontal="center"/>
    </xf>
    <xf numFmtId="9" fontId="0" fillId="5" borderId="28" xfId="1" applyFont="1" applyFill="1" applyBorder="1" applyAlignment="1">
      <alignment horizontal="center"/>
    </xf>
    <xf numFmtId="2" fontId="3" fillId="2" borderId="29" xfId="0" applyNumberFormat="1" applyFont="1" applyFill="1" applyBorder="1" applyAlignment="1">
      <alignment horizontal="center"/>
    </xf>
    <xf numFmtId="0" fontId="3" fillId="0" borderId="0" xfId="0" applyFont="1" applyFill="1" applyBorder="1" applyAlignment="1">
      <alignment horizontal="center"/>
    </xf>
    <xf numFmtId="2" fontId="0" fillId="0" borderId="1" xfId="0" applyNumberFormat="1" applyFill="1" applyBorder="1" applyAlignment="1">
      <alignment horizontal="center"/>
    </xf>
    <xf numFmtId="2" fontId="0" fillId="0" borderId="0" xfId="0" applyNumberFormat="1" applyFill="1" applyBorder="1" applyAlignment="1">
      <alignment horizontal="center"/>
    </xf>
    <xf numFmtId="2" fontId="0" fillId="0" borderId="4" xfId="0" applyNumberFormat="1" applyFill="1" applyBorder="1" applyAlignment="1">
      <alignment horizontal="center"/>
    </xf>
    <xf numFmtId="0" fontId="0" fillId="0" borderId="5" xfId="0" applyFont="1" applyFill="1" applyBorder="1" applyAlignment="1">
      <alignment horizontal="center"/>
    </xf>
    <xf numFmtId="2" fontId="0" fillId="0" borderId="0" xfId="0" applyNumberFormat="1" applyFont="1" applyFill="1" applyBorder="1" applyAlignment="1">
      <alignment horizontal="center"/>
    </xf>
    <xf numFmtId="44" fontId="0" fillId="0" borderId="0" xfId="2" applyFont="1"/>
    <xf numFmtId="165" fontId="2" fillId="3" borderId="22" xfId="0" applyNumberFormat="1" applyFont="1" applyFill="1" applyBorder="1" applyAlignment="1">
      <alignment horizontal="center"/>
    </xf>
    <xf numFmtId="165" fontId="2" fillId="3" borderId="2" xfId="0" applyNumberFormat="1" applyFont="1" applyFill="1" applyBorder="1" applyAlignment="1">
      <alignment horizontal="center"/>
    </xf>
    <xf numFmtId="165" fontId="2" fillId="3" borderId="23" xfId="0" applyNumberFormat="1" applyFont="1" applyFill="1" applyBorder="1" applyAlignment="1">
      <alignment horizontal="center"/>
    </xf>
    <xf numFmtId="164" fontId="3" fillId="0" borderId="0" xfId="0" applyNumberFormat="1" applyFont="1" applyAlignment="1">
      <alignment horizontal="left"/>
    </xf>
    <xf numFmtId="165" fontId="2" fillId="3" borderId="0" xfId="0" applyNumberFormat="1" applyFont="1" applyFill="1" applyAlignment="1">
      <alignment horizontal="center"/>
    </xf>
    <xf numFmtId="0" fontId="0" fillId="5" borderId="22" xfId="0" applyFill="1" applyBorder="1" applyAlignment="1">
      <alignment horizontal="center"/>
    </xf>
    <xf numFmtId="0" fontId="3" fillId="0" borderId="2" xfId="0" applyFont="1" applyBorder="1" applyAlignment="1">
      <alignment horizontal="center"/>
    </xf>
    <xf numFmtId="164" fontId="18" fillId="2" borderId="0" xfId="0" applyNumberFormat="1" applyFont="1" applyFill="1" applyAlignment="1">
      <alignment horizontal="center"/>
    </xf>
    <xf numFmtId="10" fontId="19" fillId="6" borderId="0" xfId="5" applyNumberFormat="1" applyFont="1" applyFill="1" applyBorder="1" applyAlignment="1">
      <alignment horizontal="center" vertical="center"/>
    </xf>
    <xf numFmtId="167" fontId="19" fillId="6" borderId="0" xfId="5" applyNumberFormat="1" applyFont="1" applyFill="1" applyBorder="1" applyAlignment="1">
      <alignment horizontal="center" vertical="center"/>
    </xf>
    <xf numFmtId="167" fontId="19" fillId="6" borderId="0" xfId="4" applyNumberFormat="1" applyFont="1" applyFill="1" applyBorder="1" applyAlignment="1">
      <alignment horizontal="center" vertical="center"/>
    </xf>
    <xf numFmtId="2" fontId="19" fillId="6" borderId="5" xfId="5" applyNumberFormat="1" applyFont="1" applyFill="1" applyBorder="1" applyAlignment="1">
      <alignment horizontal="center" vertical="center"/>
    </xf>
    <xf numFmtId="173" fontId="6" fillId="5" borderId="0" xfId="0" applyNumberFormat="1" applyFont="1" applyFill="1" applyAlignment="1">
      <alignment horizontal="center"/>
    </xf>
    <xf numFmtId="164" fontId="6" fillId="5" borderId="0" xfId="0" applyNumberFormat="1" applyFont="1" applyFill="1" applyAlignment="1">
      <alignment horizontal="center"/>
    </xf>
    <xf numFmtId="3" fontId="6" fillId="0" borderId="0" xfId="0" applyNumberFormat="1" applyFont="1" applyAlignment="1">
      <alignment horizontal="center"/>
    </xf>
    <xf numFmtId="0" fontId="0" fillId="0" borderId="0" xfId="0" applyFont="1" applyAlignment="1">
      <alignment horizontal="left" indent="1"/>
    </xf>
    <xf numFmtId="0" fontId="20" fillId="0" borderId="0" xfId="0" applyFont="1" applyBorder="1" applyAlignment="1">
      <alignment horizontal="left" indent="1"/>
    </xf>
    <xf numFmtId="165" fontId="2" fillId="3" borderId="0" xfId="0" applyNumberFormat="1" applyFont="1" applyFill="1" applyAlignment="1"/>
    <xf numFmtId="0" fontId="20" fillId="0" borderId="0" xfId="0" applyFont="1" applyFill="1" applyBorder="1"/>
    <xf numFmtId="0" fontId="0" fillId="0" borderId="0" xfId="0" applyFont="1"/>
    <xf numFmtId="165" fontId="2" fillId="0" borderId="0" xfId="0" applyNumberFormat="1" applyFont="1" applyFill="1" applyAlignment="1"/>
    <xf numFmtId="0" fontId="0" fillId="0" borderId="0" xfId="0" applyFont="1" applyBorder="1" applyAlignment="1">
      <alignment horizontal="left" indent="1"/>
    </xf>
    <xf numFmtId="0" fontId="3" fillId="7" borderId="22" xfId="0" applyFont="1" applyFill="1" applyBorder="1"/>
    <xf numFmtId="3" fontId="3" fillId="0" borderId="0" xfId="0" applyNumberFormat="1" applyFont="1" applyFill="1" applyAlignment="1">
      <alignment horizontal="center"/>
    </xf>
    <xf numFmtId="3" fontId="0" fillId="0" borderId="0" xfId="0" applyNumberFormat="1" applyFont="1" applyFill="1" applyAlignment="1">
      <alignment horizontal="center"/>
    </xf>
    <xf numFmtId="3" fontId="0" fillId="7" borderId="2" xfId="0" applyNumberFormat="1" applyFont="1" applyFill="1" applyBorder="1" applyAlignment="1">
      <alignment horizontal="center"/>
    </xf>
    <xf numFmtId="3" fontId="3" fillId="7" borderId="2" xfId="0" applyNumberFormat="1" applyFont="1" applyFill="1" applyBorder="1" applyAlignment="1">
      <alignment horizontal="center"/>
    </xf>
    <xf numFmtId="3" fontId="0" fillId="0" borderId="0" xfId="0" applyNumberFormat="1" applyFill="1" applyBorder="1" applyAlignment="1">
      <alignment horizontal="center"/>
    </xf>
    <xf numFmtId="3" fontId="0" fillId="0" borderId="0" xfId="0" applyNumberFormat="1" applyFont="1" applyFill="1" applyBorder="1" applyAlignment="1">
      <alignment horizontal="center"/>
    </xf>
    <xf numFmtId="0" fontId="2" fillId="4" borderId="0" xfId="4" applyFont="1" applyFill="1" applyBorder="1" applyAlignment="1">
      <alignment horizontal="center"/>
    </xf>
    <xf numFmtId="3" fontId="3" fillId="0" borderId="0" xfId="0" applyNumberFormat="1" applyFont="1" applyFill="1" applyBorder="1" applyAlignment="1">
      <alignment horizontal="center"/>
    </xf>
    <xf numFmtId="165" fontId="2" fillId="0" borderId="0" xfId="0" applyNumberFormat="1" applyFont="1" applyFill="1" applyAlignment="1">
      <alignment horizontal="center"/>
    </xf>
    <xf numFmtId="164" fontId="0" fillId="0" borderId="0" xfId="0" applyNumberFormat="1" applyFill="1" applyAlignment="1">
      <alignment horizontal="center"/>
    </xf>
    <xf numFmtId="167" fontId="6" fillId="0" borderId="0" xfId="1" applyNumberFormat="1" applyFont="1" applyFill="1" applyAlignment="1">
      <alignment horizontal="center"/>
    </xf>
    <xf numFmtId="164" fontId="6" fillId="0" borderId="0" xfId="0" applyNumberFormat="1" applyFont="1" applyFill="1" applyAlignment="1">
      <alignment horizontal="center"/>
    </xf>
    <xf numFmtId="164" fontId="18" fillId="0" borderId="0" xfId="0" applyNumberFormat="1" applyFont="1" applyFill="1" applyAlignment="1">
      <alignment horizontal="center"/>
    </xf>
    <xf numFmtId="3" fontId="6" fillId="0" borderId="0" xfId="0" applyNumberFormat="1" applyFont="1" applyFill="1" applyAlignment="1">
      <alignment horizontal="center"/>
    </xf>
    <xf numFmtId="9" fontId="20" fillId="0" borderId="0" xfId="1" applyFont="1" applyBorder="1" applyAlignment="1">
      <alignment horizontal="center"/>
    </xf>
    <xf numFmtId="3" fontId="3" fillId="7" borderId="23" xfId="0" applyNumberFormat="1" applyFont="1" applyFill="1" applyBorder="1" applyAlignment="1">
      <alignment horizontal="center"/>
    </xf>
    <xf numFmtId="168" fontId="10" fillId="0" borderId="0" xfId="4" applyNumberFormat="1" applyFont="1" applyFill="1" applyBorder="1" applyAlignment="1"/>
    <xf numFmtId="0" fontId="12" fillId="0" borderId="0" xfId="4" applyFont="1" applyFill="1" applyBorder="1" applyAlignment="1">
      <alignment horizontal="center"/>
    </xf>
    <xf numFmtId="170" fontId="10" fillId="0" borderId="0" xfId="4" applyNumberFormat="1" applyFont="1" applyFill="1" applyBorder="1" applyAlignment="1">
      <alignment horizontal="center"/>
    </xf>
    <xf numFmtId="171" fontId="9" fillId="0" borderId="0" xfId="4" applyNumberFormat="1" applyFont="1" applyFill="1" applyBorder="1" applyAlignment="1">
      <alignment horizontal="center"/>
    </xf>
    <xf numFmtId="165" fontId="2" fillId="3" borderId="6" xfId="0" applyNumberFormat="1" applyFont="1" applyFill="1" applyBorder="1" applyAlignment="1">
      <alignment horizontal="center"/>
    </xf>
    <xf numFmtId="165" fontId="2" fillId="3" borderId="30" xfId="0" applyNumberFormat="1" applyFont="1" applyFill="1" applyBorder="1" applyAlignment="1">
      <alignment horizontal="center"/>
    </xf>
    <xf numFmtId="164" fontId="0" fillId="0" borderId="6" xfId="0" applyNumberFormat="1" applyBorder="1" applyAlignment="1">
      <alignment horizontal="center"/>
    </xf>
    <xf numFmtId="164" fontId="0" fillId="0" borderId="22" xfId="0" applyNumberFormat="1" applyBorder="1" applyAlignment="1">
      <alignment horizontal="center"/>
    </xf>
    <xf numFmtId="164" fontId="0" fillId="5" borderId="31" xfId="0" applyNumberFormat="1" applyFill="1" applyBorder="1" applyAlignment="1">
      <alignment horizontal="center"/>
    </xf>
    <xf numFmtId="164" fontId="0" fillId="0" borderId="23" xfId="0" applyNumberFormat="1" applyBorder="1" applyAlignment="1">
      <alignment horizontal="center"/>
    </xf>
    <xf numFmtId="164" fontId="0" fillId="5" borderId="32" xfId="0" applyNumberFormat="1" applyFill="1" applyBorder="1" applyAlignment="1">
      <alignment horizontal="center"/>
    </xf>
    <xf numFmtId="9" fontId="0" fillId="0" borderId="6" xfId="1" applyFont="1" applyBorder="1" applyAlignment="1">
      <alignment horizontal="center"/>
    </xf>
    <xf numFmtId="9" fontId="20" fillId="0" borderId="0" xfId="1" applyFont="1" applyFill="1" applyBorder="1" applyAlignment="1">
      <alignment horizontal="center"/>
    </xf>
    <xf numFmtId="9" fontId="6" fillId="0" borderId="33" xfId="1" applyFont="1" applyBorder="1" applyAlignment="1">
      <alignment horizontal="center"/>
    </xf>
    <xf numFmtId="9" fontId="6" fillId="0" borderId="34" xfId="1" applyFont="1" applyBorder="1" applyAlignment="1">
      <alignment horizontal="center"/>
    </xf>
    <xf numFmtId="165" fontId="2" fillId="3" borderId="22" xfId="0" applyNumberFormat="1" applyFont="1" applyFill="1" applyBorder="1" applyAlignment="1">
      <alignment horizontal="center"/>
    </xf>
    <xf numFmtId="165" fontId="2" fillId="3" borderId="2" xfId="0" applyNumberFormat="1" applyFont="1" applyFill="1" applyBorder="1" applyAlignment="1">
      <alignment horizontal="center"/>
    </xf>
    <xf numFmtId="165" fontId="2" fillId="3" borderId="23" xfId="0" applyNumberFormat="1" applyFont="1" applyFill="1" applyBorder="1" applyAlignment="1">
      <alignment horizontal="center"/>
    </xf>
    <xf numFmtId="165" fontId="2" fillId="3" borderId="16" xfId="0" applyNumberFormat="1" applyFont="1" applyFill="1" applyBorder="1" applyAlignment="1">
      <alignment horizontal="center" vertical="center" wrapText="1"/>
    </xf>
    <xf numFmtId="165" fontId="2" fillId="3" borderId="18" xfId="0" applyNumberFormat="1" applyFont="1" applyFill="1" applyBorder="1" applyAlignment="1">
      <alignment horizontal="center" vertical="center" wrapText="1"/>
    </xf>
    <xf numFmtId="165" fontId="2" fillId="3" borderId="20" xfId="0" applyNumberFormat="1" applyFont="1" applyFill="1" applyBorder="1" applyAlignment="1">
      <alignment horizontal="center" vertical="center" wrapText="1"/>
    </xf>
    <xf numFmtId="165" fontId="2" fillId="3" borderId="16" xfId="0" applyNumberFormat="1" applyFont="1" applyFill="1" applyBorder="1" applyAlignment="1">
      <alignment horizontal="right" vertical="center" textRotation="90" wrapText="1"/>
    </xf>
    <xf numFmtId="165" fontId="2" fillId="3" borderId="18" xfId="0" applyNumberFormat="1" applyFont="1" applyFill="1" applyBorder="1" applyAlignment="1">
      <alignment horizontal="right" vertical="center" textRotation="90" wrapText="1"/>
    </xf>
    <xf numFmtId="165" fontId="2" fillId="3" borderId="20" xfId="0" applyNumberFormat="1" applyFont="1" applyFill="1" applyBorder="1" applyAlignment="1">
      <alignment horizontal="right" vertical="center" textRotation="90" wrapText="1"/>
    </xf>
    <xf numFmtId="0" fontId="3" fillId="7" borderId="2" xfId="0" applyFont="1" applyFill="1" applyBorder="1" applyAlignment="1">
      <alignment horizontal="center"/>
    </xf>
    <xf numFmtId="164" fontId="3" fillId="0" borderId="0" xfId="0" applyNumberFormat="1" applyFont="1" applyAlignment="1">
      <alignment horizontal="left"/>
    </xf>
    <xf numFmtId="0" fontId="2" fillId="3" borderId="0" xfId="0" applyFont="1" applyFill="1" applyAlignment="1">
      <alignment horizontal="center"/>
    </xf>
    <xf numFmtId="165" fontId="2" fillId="3" borderId="0" xfId="0" applyNumberFormat="1" applyFont="1" applyFill="1" applyAlignment="1">
      <alignment horizontal="center"/>
    </xf>
    <xf numFmtId="0" fontId="0" fillId="5" borderId="22" xfId="0" applyFill="1" applyBorder="1" applyAlignment="1">
      <alignment horizontal="center"/>
    </xf>
    <xf numFmtId="0" fontId="0" fillId="5" borderId="2" xfId="0" applyFill="1" applyBorder="1" applyAlignment="1">
      <alignment horizontal="center"/>
    </xf>
    <xf numFmtId="0" fontId="0" fillId="5" borderId="23" xfId="0" applyFill="1" applyBorder="1" applyAlignment="1">
      <alignment horizontal="center"/>
    </xf>
    <xf numFmtId="0" fontId="0" fillId="6" borderId="22" xfId="0" applyFill="1" applyBorder="1" applyAlignment="1">
      <alignment horizontal="center"/>
    </xf>
    <xf numFmtId="0" fontId="0" fillId="6" borderId="2" xfId="0" applyFill="1" applyBorder="1" applyAlignment="1">
      <alignment horizontal="center"/>
    </xf>
    <xf numFmtId="0" fontId="0" fillId="6" borderId="23" xfId="0" applyFill="1" applyBorder="1" applyAlignment="1">
      <alignment horizontal="center"/>
    </xf>
    <xf numFmtId="165" fontId="14" fillId="3" borderId="0" xfId="0" applyNumberFormat="1" applyFont="1" applyFill="1" applyAlignment="1">
      <alignment horizontal="center"/>
    </xf>
    <xf numFmtId="0" fontId="3" fillId="0" borderId="2" xfId="0" applyFont="1" applyBorder="1" applyAlignment="1">
      <alignment horizontal="center"/>
    </xf>
    <xf numFmtId="0" fontId="0" fillId="0" borderId="1" xfId="0" applyBorder="1" applyAlignment="1">
      <alignment horizontal="center" wrapText="1"/>
    </xf>
    <xf numFmtId="0" fontId="0" fillId="0" borderId="5" xfId="0" applyBorder="1" applyAlignment="1">
      <alignment horizontal="center" wrapText="1"/>
    </xf>
    <xf numFmtId="164" fontId="2" fillId="3" borderId="2" xfId="0" applyNumberFormat="1" applyFont="1" applyFill="1" applyBorder="1" applyAlignment="1">
      <alignment horizontal="center"/>
    </xf>
    <xf numFmtId="164" fontId="2" fillId="3" borderId="2" xfId="0" applyNumberFormat="1" applyFont="1" applyFill="1" applyBorder="1" applyAlignment="1">
      <alignment horizontal="center" wrapText="1"/>
    </xf>
    <xf numFmtId="0" fontId="2" fillId="3" borderId="0" xfId="0" applyFont="1" applyFill="1" applyBorder="1" applyAlignment="1">
      <alignment horizontal="center"/>
    </xf>
  </cellXfs>
  <cellStyles count="7">
    <cellStyle name="Input 2" xfId="5" xr:uid="{2FC577FC-ED59-4F81-B76C-EB03B1F999A2}"/>
    <cellStyle name="Monétaire" xfId="2" builtinId="4"/>
    <cellStyle name="Normal" xfId="0" builtinId="0"/>
    <cellStyle name="Normal 10" xfId="4" xr:uid="{27CD97B1-16A9-466F-ACBC-A114817FB9E9}"/>
    <cellStyle name="Normal_Sheet" xfId="3" xr:uid="{3AC68725-A665-4E07-8A45-5AA4C39002E4}"/>
    <cellStyle name="Percent 2" xfId="6" xr:uid="{BF197976-5042-4CBC-9B08-C2F207DDC94B}"/>
    <cellStyle name="Pourcentage" xfId="1" builtinId="5"/>
  </cellStyles>
  <dxfs count="2">
    <dxf>
      <font>
        <b/>
        <i val="0"/>
        <condense val="0"/>
        <extend val="0"/>
        <color indexed="12"/>
      </font>
      <border>
        <top style="thin">
          <color indexed="64"/>
        </top>
      </border>
    </dxf>
    <dxf>
      <font>
        <b/>
        <i val="0"/>
        <condense val="0"/>
        <extend val="0"/>
        <color indexed="12"/>
      </font>
      <border>
        <top style="thin">
          <color indexed="64"/>
        </top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_rels/chart5.xml.rels><?xml version="1.0" encoding="UTF-8" standalone="yes"?>
<Relationships xmlns="http://schemas.openxmlformats.org/package/2006/relationships"><Relationship Id="rId2" Type="http://schemas.microsoft.com/office/2011/relationships/chartColorStyle" Target="colors5.xml"/><Relationship Id="rId1" Type="http://schemas.microsoft.com/office/2011/relationships/chartStyle" Target="style5.xml"/></Relationships>
</file>

<file path=xl/charts/_rels/chart6.xml.rels><?xml version="1.0" encoding="UTF-8" standalone="yes"?>
<Relationships xmlns="http://schemas.openxmlformats.org/package/2006/relationships"><Relationship Id="rId2" Type="http://schemas.microsoft.com/office/2011/relationships/chartColorStyle" Target="colors6.xml"/><Relationship Id="rId1" Type="http://schemas.microsoft.com/office/2011/relationships/chartStyle" Target="style6.xml"/></Relationships>
</file>

<file path=xl/charts/_rels/chart7.xml.rels><?xml version="1.0" encoding="UTF-8" standalone="yes"?>
<Relationships xmlns="http://schemas.openxmlformats.org/package/2006/relationships"><Relationship Id="rId2" Type="http://schemas.microsoft.com/office/2011/relationships/chartColorStyle" Target="colors7.xml"/><Relationship Id="rId1" Type="http://schemas.microsoft.com/office/2011/relationships/chartStyle" Target="style7.xml"/></Relationships>
</file>

<file path=xl/charts/_rels/chart8.xml.rels><?xml version="1.0" encoding="UTF-8" standalone="yes"?>
<Relationships xmlns="http://schemas.openxmlformats.org/package/2006/relationships"><Relationship Id="rId2" Type="http://schemas.microsoft.com/office/2011/relationships/chartColorStyle" Target="colors8.xml"/><Relationship Id="rId1" Type="http://schemas.microsoft.com/office/2011/relationships/chartStyle" Target="style8.xml"/></Relationships>
</file>

<file path=xl/charts/_rels/chart9.xml.rels><?xml version="1.0" encoding="UTF-8" standalone="yes"?>
<Relationships xmlns="http://schemas.openxmlformats.org/package/2006/relationships"><Relationship Id="rId2" Type="http://schemas.microsoft.com/office/2011/relationships/chartColorStyle" Target="colors9.xml"/><Relationship Id="rId1" Type="http://schemas.microsoft.com/office/2011/relationships/chartStyle" Target="style9.xml"/></Relationships>
</file>

<file path=xl/charts/_rels/chart10.xml.rels><?xml version="1.0" encoding="UTF-8" standalone="yes"?>
<Relationships xmlns="http://schemas.openxmlformats.org/package/2006/relationships"><Relationship Id="rId2" Type="http://schemas.microsoft.com/office/2011/relationships/chartColorStyle" Target="colors10.xml"/><Relationship Id="rId1" Type="http://schemas.microsoft.com/office/2011/relationships/chartStyle" Target="style10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barChart>
        <c:barDir val="col"/>
        <c:grouping val="clustered"/>
        <c:varyColors val="0"/>
        <c:ser>
          <c:idx val="2"/>
          <c:order val="2"/>
          <c:tx>
            <c:strRef>
              <c:f>Ratio!$A$10</c:f>
              <c:strCache>
                <c:ptCount val="1"/>
                <c:pt idx="0">
                  <c:v>BPA</c:v>
                </c:pt>
              </c:strCache>
            </c:strRef>
          </c:tx>
          <c:spPr>
            <a:gradFill rotWithShape="1">
              <a:gsLst>
                <a:gs pos="0">
                  <a:schemeClr val="accent3">
                    <a:satMod val="103000"/>
                    <a:lumMod val="102000"/>
                    <a:tint val="94000"/>
                  </a:schemeClr>
                </a:gs>
                <a:gs pos="50000">
                  <a:schemeClr val="accent3">
                    <a:satMod val="110000"/>
                    <a:lumMod val="100000"/>
                    <a:shade val="100000"/>
                  </a:schemeClr>
                </a:gs>
                <a:gs pos="100000">
                  <a:schemeClr val="accent3">
                    <a:lumMod val="99000"/>
                    <a:satMod val="120000"/>
                    <a:shade val="78000"/>
                  </a:schemeClr>
                </a:gs>
              </a:gsLst>
              <a:lin ang="5400000" scaled="0"/>
            </a:gradFill>
            <a:ln>
              <a:noFill/>
            </a:ln>
            <a:effectLst>
              <a:outerShdw blurRad="57150" dist="19050" dir="5400000" algn="ctr" rotWithShape="0">
                <a:srgbClr val="000000">
                  <a:alpha val="63000"/>
                </a:srgbClr>
              </a:outerShdw>
            </a:effectLst>
          </c:spPr>
          <c:invertIfNegative val="0"/>
          <c:cat>
            <c:numRef>
              <c:f>Ratio!$B$1:$P$1</c:f>
              <c:numCache>
                <c:formatCode>0_);\(0\)</c:formatCode>
                <c:ptCount val="15"/>
                <c:pt idx="0">
                  <c:v>2014</c:v>
                </c:pt>
                <c:pt idx="1">
                  <c:v>2015</c:v>
                </c:pt>
                <c:pt idx="2">
                  <c:v>2016</c:v>
                </c:pt>
                <c:pt idx="3">
                  <c:v>2017</c:v>
                </c:pt>
                <c:pt idx="4">
                  <c:v>2018</c:v>
                </c:pt>
                <c:pt idx="5">
                  <c:v>2019</c:v>
                </c:pt>
                <c:pt idx="6">
                  <c:v>2020</c:v>
                </c:pt>
                <c:pt idx="7">
                  <c:v>2021</c:v>
                </c:pt>
                <c:pt idx="8">
                  <c:v>2022</c:v>
                </c:pt>
                <c:pt idx="9">
                  <c:v>2023</c:v>
                </c:pt>
                <c:pt idx="10">
                  <c:v>2024</c:v>
                </c:pt>
                <c:pt idx="11">
                  <c:v>2025</c:v>
                </c:pt>
                <c:pt idx="12">
                  <c:v>2026</c:v>
                </c:pt>
                <c:pt idx="13">
                  <c:v>2027</c:v>
                </c:pt>
                <c:pt idx="14">
                  <c:v>2028</c:v>
                </c:pt>
              </c:numCache>
            </c:numRef>
          </c:cat>
          <c:val>
            <c:numRef>
              <c:f>Ratio!$B$10:$P$10</c:f>
              <c:numCache>
                <c:formatCode>_("$"* #,##0.00_);_("$"* \(#,##0.00\);_("$"* "-"??_);_(@_)</c:formatCode>
                <c:ptCount val="15"/>
                <c:pt idx="0">
                  <c:v>2.4740000000000002E-2</c:v>
                </c:pt>
                <c:pt idx="1">
                  <c:v>0.11791</c:v>
                </c:pt>
                <c:pt idx="2">
                  <c:v>0.21074999999999999</c:v>
                </c:pt>
                <c:pt idx="3">
                  <c:v>0.26712999999999998</c:v>
                </c:pt>
                <c:pt idx="4">
                  <c:v>0.28227000000000002</c:v>
                </c:pt>
                <c:pt idx="5">
                  <c:v>0.35155352160000009</c:v>
                </c:pt>
                <c:pt idx="6">
                  <c:v>0.42492210847199996</c:v>
                </c:pt>
                <c:pt idx="7">
                  <c:v>0.49207824699263991</c:v>
                </c:pt>
                <c:pt idx="8">
                  <c:v>0.53914385480970228</c:v>
                </c:pt>
                <c:pt idx="9">
                  <c:v>0.5861364885885787</c:v>
                </c:pt>
                <c:pt idx="10">
                  <c:v>0.61758567809323239</c:v>
                </c:pt>
                <c:pt idx="11">
                  <c:v>0.64748222534422717</c:v>
                </c:pt>
                <c:pt idx="12">
                  <c:v>0.67677799824947271</c:v>
                </c:pt>
                <c:pt idx="13">
                  <c:v>0.70605404188390819</c:v>
                </c:pt>
                <c:pt idx="14">
                  <c:v>0.73566920535259628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309B-4509-91F9-0E0BA85579E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69"/>
        <c:axId val="602658792"/>
        <c:axId val="602656824"/>
      </c:barChart>
      <c:lineChart>
        <c:grouping val="standard"/>
        <c:varyColors val="0"/>
        <c:ser>
          <c:idx val="0"/>
          <c:order val="0"/>
          <c:tx>
            <c:strRef>
              <c:f>Ratio!$A$8</c:f>
              <c:strCache>
                <c:ptCount val="1"/>
                <c:pt idx="0">
                  <c:v>Marge brute</c:v>
                </c:pt>
              </c:strCache>
            </c:strRef>
          </c:tx>
          <c:spPr>
            <a:ln w="34925" cap="rnd">
              <a:solidFill>
                <a:schemeClr val="accent1"/>
              </a:solidFill>
              <a:round/>
            </a:ln>
            <a:effectLst>
              <a:outerShdw blurRad="57150" dist="19050" dir="5400000" algn="ctr" rotWithShape="0">
                <a:srgbClr val="000000">
                  <a:alpha val="63000"/>
                </a:srgbClr>
              </a:outerShdw>
            </a:effectLst>
          </c:spPr>
          <c:marker>
            <c:symbol val="none"/>
          </c:marker>
          <c:cat>
            <c:numRef>
              <c:f>Ratio!$B$1:$P$1</c:f>
              <c:numCache>
                <c:formatCode>0_);\(0\)</c:formatCode>
                <c:ptCount val="15"/>
                <c:pt idx="0">
                  <c:v>2014</c:v>
                </c:pt>
                <c:pt idx="1">
                  <c:v>2015</c:v>
                </c:pt>
                <c:pt idx="2">
                  <c:v>2016</c:v>
                </c:pt>
                <c:pt idx="3">
                  <c:v>2017</c:v>
                </c:pt>
                <c:pt idx="4">
                  <c:v>2018</c:v>
                </c:pt>
                <c:pt idx="5">
                  <c:v>2019</c:v>
                </c:pt>
                <c:pt idx="6">
                  <c:v>2020</c:v>
                </c:pt>
                <c:pt idx="7">
                  <c:v>2021</c:v>
                </c:pt>
                <c:pt idx="8">
                  <c:v>2022</c:v>
                </c:pt>
                <c:pt idx="9">
                  <c:v>2023</c:v>
                </c:pt>
                <c:pt idx="10">
                  <c:v>2024</c:v>
                </c:pt>
                <c:pt idx="11">
                  <c:v>2025</c:v>
                </c:pt>
                <c:pt idx="12">
                  <c:v>2026</c:v>
                </c:pt>
                <c:pt idx="13">
                  <c:v>2027</c:v>
                </c:pt>
                <c:pt idx="14">
                  <c:v>2028</c:v>
                </c:pt>
              </c:numCache>
            </c:numRef>
          </c:cat>
          <c:val>
            <c:numRef>
              <c:f>Ratio!$B$8:$P$8</c:f>
              <c:numCache>
                <c:formatCode>0.0%</c:formatCode>
                <c:ptCount val="15"/>
                <c:pt idx="0">
                  <c:v>0.61744782220827987</c:v>
                </c:pt>
                <c:pt idx="1">
                  <c:v>0.59348271598665381</c:v>
                </c:pt>
                <c:pt idx="2">
                  <c:v>0.62600022840610603</c:v>
                </c:pt>
                <c:pt idx="3">
                  <c:v>0.62587026928291922</c:v>
                </c:pt>
                <c:pt idx="4">
                  <c:v>0.61988963468017932</c:v>
                </c:pt>
                <c:pt idx="5">
                  <c:v>0.63000000000000012</c:v>
                </c:pt>
                <c:pt idx="6">
                  <c:v>0.63</c:v>
                </c:pt>
                <c:pt idx="7">
                  <c:v>0.64</c:v>
                </c:pt>
                <c:pt idx="8">
                  <c:v>0.64</c:v>
                </c:pt>
                <c:pt idx="9">
                  <c:v>0.65</c:v>
                </c:pt>
                <c:pt idx="10">
                  <c:v>0.65</c:v>
                </c:pt>
                <c:pt idx="11">
                  <c:v>0.65</c:v>
                </c:pt>
                <c:pt idx="12">
                  <c:v>0.65</c:v>
                </c:pt>
                <c:pt idx="13">
                  <c:v>0.65</c:v>
                </c:pt>
                <c:pt idx="14">
                  <c:v>0.65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309B-4509-91F9-0E0BA85579EE}"/>
            </c:ext>
          </c:extLst>
        </c:ser>
        <c:ser>
          <c:idx val="1"/>
          <c:order val="1"/>
          <c:tx>
            <c:strRef>
              <c:f>Ratio!$A$9</c:f>
              <c:strCache>
                <c:ptCount val="1"/>
                <c:pt idx="0">
                  <c:v>Marge nette</c:v>
                </c:pt>
              </c:strCache>
            </c:strRef>
          </c:tx>
          <c:spPr>
            <a:ln w="34925" cap="rnd">
              <a:solidFill>
                <a:schemeClr val="accent2"/>
              </a:solidFill>
              <a:round/>
            </a:ln>
            <a:effectLst>
              <a:outerShdw blurRad="57150" dist="19050" dir="5400000" algn="ctr" rotWithShape="0">
                <a:srgbClr val="000000">
                  <a:alpha val="63000"/>
                </a:srgbClr>
              </a:outerShdw>
            </a:effectLst>
          </c:spPr>
          <c:marker>
            <c:symbol val="none"/>
          </c:marker>
          <c:cat>
            <c:numRef>
              <c:f>Ratio!$B$1:$P$1</c:f>
              <c:numCache>
                <c:formatCode>0_);\(0\)</c:formatCode>
                <c:ptCount val="15"/>
                <c:pt idx="0">
                  <c:v>2014</c:v>
                </c:pt>
                <c:pt idx="1">
                  <c:v>2015</c:v>
                </c:pt>
                <c:pt idx="2">
                  <c:v>2016</c:v>
                </c:pt>
                <c:pt idx="3">
                  <c:v>2017</c:v>
                </c:pt>
                <c:pt idx="4">
                  <c:v>2018</c:v>
                </c:pt>
                <c:pt idx="5">
                  <c:v>2019</c:v>
                </c:pt>
                <c:pt idx="6">
                  <c:v>2020</c:v>
                </c:pt>
                <c:pt idx="7">
                  <c:v>2021</c:v>
                </c:pt>
                <c:pt idx="8">
                  <c:v>2022</c:v>
                </c:pt>
                <c:pt idx="9">
                  <c:v>2023</c:v>
                </c:pt>
                <c:pt idx="10">
                  <c:v>2024</c:v>
                </c:pt>
                <c:pt idx="11">
                  <c:v>2025</c:v>
                </c:pt>
                <c:pt idx="12">
                  <c:v>2026</c:v>
                </c:pt>
                <c:pt idx="13">
                  <c:v>2027</c:v>
                </c:pt>
                <c:pt idx="14">
                  <c:v>2028</c:v>
                </c:pt>
              </c:numCache>
            </c:numRef>
          </c:cat>
          <c:val>
            <c:numRef>
              <c:f>Ratio!$B$9:$P$9</c:f>
              <c:numCache>
                <c:formatCode>0.0%</c:formatCode>
                <c:ptCount val="15"/>
                <c:pt idx="0">
                  <c:v>2.4253237522915094E-2</c:v>
                </c:pt>
                <c:pt idx="1">
                  <c:v>9.9850956082854866E-2</c:v>
                </c:pt>
                <c:pt idx="2">
                  <c:v>0.16045528950473942</c:v>
                </c:pt>
                <c:pt idx="3">
                  <c:v>0.1876690482714046</c:v>
                </c:pt>
                <c:pt idx="4">
                  <c:v>0.18721645928952324</c:v>
                </c:pt>
                <c:pt idx="5">
                  <c:v>0.22206568707338617</c:v>
                </c:pt>
                <c:pt idx="6">
                  <c:v>0.25685205365018704</c:v>
                </c:pt>
                <c:pt idx="7">
                  <c:v>0.28600560363499228</c:v>
                </c:pt>
                <c:pt idx="8">
                  <c:v>0.30276431420600713</c:v>
                </c:pt>
                <c:pt idx="9">
                  <c:v>0.31956673028285204</c:v>
                </c:pt>
                <c:pt idx="10">
                  <c:v>0.32690592518240558</c:v>
                </c:pt>
                <c:pt idx="11">
                  <c:v>0.33274857336445424</c:v>
                </c:pt>
                <c:pt idx="12">
                  <c:v>0.33767379465230796</c:v>
                </c:pt>
                <c:pt idx="13">
                  <c:v>0.34202027007237945</c:v>
                </c:pt>
                <c:pt idx="14">
                  <c:v>0.34598658048765468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309B-4509-91F9-0E0BA85579E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51553160"/>
        <c:axId val="551555456"/>
      </c:lineChart>
      <c:catAx>
        <c:axId val="551553160"/>
        <c:scaling>
          <c:orientation val="minMax"/>
        </c:scaling>
        <c:delete val="0"/>
        <c:axPos val="b"/>
        <c:numFmt formatCode="0_);\(0\)" sourceLinked="1"/>
        <c:majorTickMark val="none"/>
        <c:minorTickMark val="none"/>
        <c:tickLblPos val="nextTo"/>
        <c:spPr>
          <a:noFill/>
          <a:ln w="12700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fr-FR"/>
          </a:p>
        </c:txPr>
        <c:crossAx val="551555456"/>
        <c:crosses val="autoZero"/>
        <c:auto val="1"/>
        <c:lblAlgn val="ctr"/>
        <c:lblOffset val="100"/>
        <c:noMultiLvlLbl val="0"/>
      </c:catAx>
      <c:valAx>
        <c:axId val="55155545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%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fr-FR"/>
          </a:p>
        </c:txPr>
        <c:crossAx val="551553160"/>
        <c:crosses val="autoZero"/>
        <c:crossBetween val="between"/>
      </c:valAx>
      <c:valAx>
        <c:axId val="602656824"/>
        <c:scaling>
          <c:orientation val="minMax"/>
        </c:scaling>
        <c:delete val="0"/>
        <c:axPos val="r"/>
        <c:numFmt formatCode="_(&quot;$&quot;* #,##0.00_);_(&quot;$&quot;* \(#,##0.00\);_(&quot;$&quot;* &quot;-&quot;??_);_(@_)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fr-FR"/>
          </a:p>
        </c:txPr>
        <c:crossAx val="602658792"/>
        <c:crosses val="max"/>
        <c:crossBetween val="between"/>
      </c:valAx>
      <c:catAx>
        <c:axId val="602658792"/>
        <c:scaling>
          <c:orientation val="minMax"/>
        </c:scaling>
        <c:delete val="1"/>
        <c:axPos val="b"/>
        <c:numFmt formatCode="0_);\(0\)" sourceLinked="1"/>
        <c:majorTickMark val="none"/>
        <c:minorTickMark val="none"/>
        <c:tickLblPos val="nextTo"/>
        <c:crossAx val="602656824"/>
        <c:crosses val="autoZero"/>
        <c:auto val="1"/>
        <c:lblAlgn val="ctr"/>
        <c:lblOffset val="100"/>
        <c:noMultiLvlLbl val="0"/>
      </c:cat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fr-FR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fr-FR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6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fr-CA"/>
              <a:t>Évolution des taux de croissance et de la marge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1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fr-FR"/>
        </a:p>
      </c:txPr>
    </c:title>
    <c:autoTitleDeleted val="0"/>
    <c:plotArea>
      <c:layout/>
      <c:barChart>
        <c:barDir val="col"/>
        <c:grouping val="clustered"/>
        <c:varyColors val="0"/>
        <c:ser>
          <c:idx val="2"/>
          <c:order val="2"/>
          <c:tx>
            <c:strRef>
              <c:f>'DCF model'!$A$8</c:f>
              <c:strCache>
                <c:ptCount val="1"/>
                <c:pt idx="0">
                  <c:v>EBITDA Margin</c:v>
                </c:pt>
              </c:strCache>
            </c:strRef>
          </c:tx>
          <c:spPr>
            <a:solidFill>
              <a:schemeClr val="accent1">
                <a:lumMod val="40000"/>
                <a:lumOff val="60000"/>
              </a:schemeClr>
            </a:solidFill>
            <a:ln w="3175">
              <a:solidFill>
                <a:schemeClr val="accent1"/>
              </a:solidFill>
            </a:ln>
            <a:effectLst>
              <a:outerShdw blurRad="57150" dist="19050" dir="5400000" algn="ctr" rotWithShape="0">
                <a:srgbClr val="000000">
                  <a:alpha val="63000"/>
                </a:srgbClr>
              </a:outerShdw>
            </a:effectLst>
          </c:spPr>
          <c:invertIfNegative val="0"/>
          <c:cat>
            <c:numRef>
              <c:f>'DCF model'!$B$3:$M$3</c:f>
              <c:numCache>
                <c:formatCode>0_);\(0\)</c:formatCode>
                <c:ptCount val="12"/>
                <c:pt idx="0" formatCode="General">
                  <c:v>2018</c:v>
                </c:pt>
                <c:pt idx="1">
                  <c:v>2019</c:v>
                </c:pt>
                <c:pt idx="2">
                  <c:v>2020</c:v>
                </c:pt>
                <c:pt idx="3">
                  <c:v>2021</c:v>
                </c:pt>
                <c:pt idx="4">
                  <c:v>2022</c:v>
                </c:pt>
                <c:pt idx="5">
                  <c:v>2023</c:v>
                </c:pt>
                <c:pt idx="6">
                  <c:v>2024</c:v>
                </c:pt>
                <c:pt idx="7">
                  <c:v>2025</c:v>
                </c:pt>
                <c:pt idx="8">
                  <c:v>2026</c:v>
                </c:pt>
                <c:pt idx="9">
                  <c:v>2027</c:v>
                </c:pt>
                <c:pt idx="10">
                  <c:v>2028</c:v>
                </c:pt>
                <c:pt idx="11" formatCode="General">
                  <c:v>2029</c:v>
                </c:pt>
              </c:numCache>
            </c:numRef>
          </c:cat>
          <c:val>
            <c:numRef>
              <c:f>'DCF model'!$B$8:$M$8</c:f>
              <c:numCache>
                <c:formatCode>_(0.0%_);\(0.0%\);_("–"_)_%;_(@_)_%</c:formatCode>
                <c:ptCount val="12"/>
                <c:pt idx="0">
                  <c:v>0.37676093704401348</c:v>
                </c:pt>
                <c:pt idx="1">
                  <c:v>0.40891562535926218</c:v>
                </c:pt>
                <c:pt idx="2">
                  <c:v>0.41843600512848045</c:v>
                </c:pt>
                <c:pt idx="3">
                  <c:v>0.4365730818543081</c:v>
                </c:pt>
                <c:pt idx="4">
                  <c:v>0.44345225299933155</c:v>
                </c:pt>
                <c:pt idx="5">
                  <c:v>0.45917694465954523</c:v>
                </c:pt>
                <c:pt idx="6">
                  <c:v>0.46473489772771376</c:v>
                </c:pt>
                <c:pt idx="7">
                  <c:v>0.47013096866768322</c:v>
                </c:pt>
                <c:pt idx="8">
                  <c:v>0.47536987249289642</c:v>
                </c:pt>
                <c:pt idx="9">
                  <c:v>0.4804561868863072</c:v>
                </c:pt>
                <c:pt idx="10">
                  <c:v>0.48539435620029819</c:v>
                </c:pt>
                <c:pt idx="11">
                  <c:v>0.4901886953400954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07CD-42BB-AF01-9CFF1377E0D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47"/>
        <c:axId val="586598320"/>
        <c:axId val="586595368"/>
      </c:barChart>
      <c:lineChart>
        <c:grouping val="standard"/>
        <c:varyColors val="0"/>
        <c:ser>
          <c:idx val="0"/>
          <c:order val="0"/>
          <c:tx>
            <c:strRef>
              <c:f>'DCF model'!$A$5</c:f>
              <c:strCache>
                <c:ptCount val="1"/>
                <c:pt idx="0">
                  <c:v>Sales Growth Rate</c:v>
                </c:pt>
              </c:strCache>
            </c:strRef>
          </c:tx>
          <c:spPr>
            <a:ln w="34925" cap="rnd">
              <a:solidFill>
                <a:schemeClr val="accent1"/>
              </a:solidFill>
              <a:round/>
            </a:ln>
            <a:effectLst>
              <a:outerShdw blurRad="57150" dist="19050" dir="5400000" algn="ctr" rotWithShape="0">
                <a:srgbClr val="000000">
                  <a:alpha val="63000"/>
                </a:srgbClr>
              </a:outerShdw>
            </a:effectLst>
          </c:spPr>
          <c:marker>
            <c:symbol val="none"/>
          </c:marker>
          <c:cat>
            <c:numRef>
              <c:f>'DCF model'!$B$3:$M$3</c:f>
              <c:numCache>
                <c:formatCode>0_);\(0\)</c:formatCode>
                <c:ptCount val="12"/>
                <c:pt idx="0" formatCode="General">
                  <c:v>2018</c:v>
                </c:pt>
                <c:pt idx="1">
                  <c:v>2019</c:v>
                </c:pt>
                <c:pt idx="2">
                  <c:v>2020</c:v>
                </c:pt>
                <c:pt idx="3">
                  <c:v>2021</c:v>
                </c:pt>
                <c:pt idx="4">
                  <c:v>2022</c:v>
                </c:pt>
                <c:pt idx="5">
                  <c:v>2023</c:v>
                </c:pt>
                <c:pt idx="6">
                  <c:v>2024</c:v>
                </c:pt>
                <c:pt idx="7">
                  <c:v>2025</c:v>
                </c:pt>
                <c:pt idx="8">
                  <c:v>2026</c:v>
                </c:pt>
                <c:pt idx="9">
                  <c:v>2027</c:v>
                </c:pt>
                <c:pt idx="10">
                  <c:v>2028</c:v>
                </c:pt>
                <c:pt idx="11" formatCode="General">
                  <c:v>2029</c:v>
                </c:pt>
              </c:numCache>
            </c:numRef>
          </c:cat>
          <c:val>
            <c:numRef>
              <c:f>'DCF model'!$B$5:$M$5</c:f>
              <c:numCache>
                <c:formatCode>_(0.0%_);\(0.0%\);_("–"_)_%;_(@_)_%</c:formatCode>
                <c:ptCount val="12"/>
                <c:pt idx="0">
                  <c:v>5.9231001608812672E-2</c:v>
                </c:pt>
                <c:pt idx="1">
                  <c:v>5.0000000000000044E-2</c:v>
                </c:pt>
                <c:pt idx="2">
                  <c:v>4.4999999999999929E-2</c:v>
                </c:pt>
                <c:pt idx="3">
                  <c:v>4.0000000000000036E-2</c:v>
                </c:pt>
                <c:pt idx="4">
                  <c:v>3.499999999999992E-2</c:v>
                </c:pt>
                <c:pt idx="5">
                  <c:v>3.0000000000000027E-2</c:v>
                </c:pt>
                <c:pt idx="6">
                  <c:v>3.0000000000000027E-2</c:v>
                </c:pt>
                <c:pt idx="7">
                  <c:v>3.0000000000000027E-2</c:v>
                </c:pt>
                <c:pt idx="8">
                  <c:v>3.0000000000000027E-2</c:v>
                </c:pt>
                <c:pt idx="9">
                  <c:v>3.0000000000000027E-2</c:v>
                </c:pt>
                <c:pt idx="10">
                  <c:v>3.0000000000000027E-2</c:v>
                </c:pt>
                <c:pt idx="11">
                  <c:v>3.0000000000000027E-2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07CD-42BB-AF01-9CFF1377E0D6}"/>
            </c:ext>
          </c:extLst>
        </c:ser>
        <c:ser>
          <c:idx val="1"/>
          <c:order val="1"/>
          <c:tx>
            <c:strRef>
              <c:f>'DCF model'!$A$7</c:f>
              <c:strCache>
                <c:ptCount val="1"/>
                <c:pt idx="0">
                  <c:v>EBITDA Growth Rate</c:v>
                </c:pt>
              </c:strCache>
            </c:strRef>
          </c:tx>
          <c:spPr>
            <a:ln w="34925" cap="rnd">
              <a:solidFill>
                <a:srgbClr val="00B050"/>
              </a:solidFill>
              <a:round/>
            </a:ln>
            <a:effectLst>
              <a:outerShdw blurRad="57150" dist="19050" dir="5400000" algn="ctr" rotWithShape="0">
                <a:srgbClr val="000000">
                  <a:alpha val="63000"/>
                </a:srgbClr>
              </a:outerShdw>
            </a:effectLst>
          </c:spPr>
          <c:marker>
            <c:symbol val="none"/>
          </c:marker>
          <c:cat>
            <c:numRef>
              <c:f>'DCF model'!$B$3:$M$3</c:f>
              <c:numCache>
                <c:formatCode>0_);\(0\)</c:formatCode>
                <c:ptCount val="12"/>
                <c:pt idx="0" formatCode="General">
                  <c:v>2018</c:v>
                </c:pt>
                <c:pt idx="1">
                  <c:v>2019</c:v>
                </c:pt>
                <c:pt idx="2">
                  <c:v>2020</c:v>
                </c:pt>
                <c:pt idx="3">
                  <c:v>2021</c:v>
                </c:pt>
                <c:pt idx="4">
                  <c:v>2022</c:v>
                </c:pt>
                <c:pt idx="5">
                  <c:v>2023</c:v>
                </c:pt>
                <c:pt idx="6">
                  <c:v>2024</c:v>
                </c:pt>
                <c:pt idx="7">
                  <c:v>2025</c:v>
                </c:pt>
                <c:pt idx="8">
                  <c:v>2026</c:v>
                </c:pt>
                <c:pt idx="9">
                  <c:v>2027</c:v>
                </c:pt>
                <c:pt idx="10">
                  <c:v>2028</c:v>
                </c:pt>
                <c:pt idx="11" formatCode="General">
                  <c:v>2029</c:v>
                </c:pt>
              </c:numCache>
            </c:numRef>
          </c:cat>
          <c:val>
            <c:numRef>
              <c:f>'DCF model'!$B$7:$M$7</c:f>
              <c:numCache>
                <c:formatCode>_(0.0%_);\(0.0%\);_("–"_)_%;_(@_)_%</c:formatCode>
                <c:ptCount val="12"/>
                <c:pt idx="0">
                  <c:v>3.1599019340779133E-2</c:v>
                </c:pt>
                <c:pt idx="1">
                  <c:v>0.13961232285890346</c:v>
                </c:pt>
                <c:pt idx="2">
                  <c:v>6.9329705792221308E-2</c:v>
                </c:pt>
                <c:pt idx="3">
                  <c:v>8.5078720673353647E-2</c:v>
                </c:pt>
                <c:pt idx="4">
                  <c:v>5.130870621903183E-2</c:v>
                </c:pt>
                <c:pt idx="5">
                  <c:v>6.652350912747429E-2</c:v>
                </c:pt>
                <c:pt idx="6">
                  <c:v>4.2467288976057116E-2</c:v>
                </c:pt>
                <c:pt idx="7">
                  <c:v>4.1959405448877884E-2</c:v>
                </c:pt>
                <c:pt idx="8">
                  <c:v>4.1477803632595345E-2</c:v>
                </c:pt>
                <c:pt idx="9">
                  <c:v>4.1020689632137897E-2</c:v>
                </c:pt>
                <c:pt idx="10">
                  <c:v>4.0586427092080379E-2</c:v>
                </c:pt>
                <c:pt idx="11">
                  <c:v>4.0173520254020767E-2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07CD-42BB-AF01-9CFF1377E0D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50882608"/>
        <c:axId val="550881952"/>
      </c:lineChart>
      <c:catAx>
        <c:axId val="55088260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12700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fr-FR"/>
          </a:p>
        </c:txPr>
        <c:crossAx val="550881952"/>
        <c:crosses val="autoZero"/>
        <c:auto val="1"/>
        <c:lblAlgn val="ctr"/>
        <c:lblOffset val="100"/>
        <c:noMultiLvlLbl val="0"/>
      </c:catAx>
      <c:valAx>
        <c:axId val="55088195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%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fr-FR"/>
          </a:p>
        </c:txPr>
        <c:crossAx val="550882608"/>
        <c:crosses val="autoZero"/>
        <c:crossBetween val="between"/>
      </c:valAx>
      <c:valAx>
        <c:axId val="586595368"/>
        <c:scaling>
          <c:orientation val="minMax"/>
        </c:scaling>
        <c:delete val="0"/>
        <c:axPos val="r"/>
        <c:numFmt formatCode="0%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fr-FR"/>
          </a:p>
        </c:txPr>
        <c:crossAx val="586598320"/>
        <c:crosses val="max"/>
        <c:crossBetween val="between"/>
      </c:valAx>
      <c:catAx>
        <c:axId val="586598320"/>
        <c:scaling>
          <c:orientation val="minMax"/>
        </c:scaling>
        <c:delete val="1"/>
        <c:axPos val="b"/>
        <c:numFmt formatCode="General" sourceLinked="1"/>
        <c:majorTickMark val="none"/>
        <c:minorTickMark val="none"/>
        <c:tickLblPos val="nextTo"/>
        <c:crossAx val="586595368"/>
        <c:crosses val="autoZero"/>
        <c:auto val="1"/>
        <c:lblAlgn val="ctr"/>
        <c:lblOffset val="100"/>
        <c:noMultiLvlLbl val="0"/>
      </c:cat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fr-FR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fr-FR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6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fr-CA"/>
              <a:t>Cash flows vs Cash flows actualisés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1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fr-FR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'DCF model'!$A$26</c:f>
              <c:strCache>
                <c:ptCount val="1"/>
                <c:pt idx="0">
                  <c:v>Total des cash flows</c:v>
                </c:pt>
              </c:strCache>
            </c:strRef>
          </c:tx>
          <c:spPr>
            <a:gradFill rotWithShape="1">
              <a:gsLst>
                <a:gs pos="0">
                  <a:schemeClr val="accent1">
                    <a:satMod val="103000"/>
                    <a:lumMod val="102000"/>
                    <a:tint val="94000"/>
                  </a:schemeClr>
                </a:gs>
                <a:gs pos="50000">
                  <a:schemeClr val="accent1">
                    <a:satMod val="110000"/>
                    <a:lumMod val="100000"/>
                    <a:shade val="100000"/>
                  </a:schemeClr>
                </a:gs>
                <a:gs pos="100000">
                  <a:schemeClr val="accent1">
                    <a:lumMod val="99000"/>
                    <a:satMod val="120000"/>
                    <a:shade val="78000"/>
                  </a:schemeClr>
                </a:gs>
              </a:gsLst>
              <a:lin ang="5400000" scaled="0"/>
            </a:gradFill>
            <a:ln>
              <a:noFill/>
            </a:ln>
            <a:effectLst>
              <a:outerShdw blurRad="57150" dist="19050" dir="5400000" algn="ctr" rotWithShape="0">
                <a:srgbClr val="000000">
                  <a:alpha val="63000"/>
                </a:srgbClr>
              </a:outerShdw>
            </a:effectLst>
          </c:spPr>
          <c:invertIfNegative val="0"/>
          <c:cat>
            <c:numRef>
              <c:f>'DCF model'!$C$20:$L$20</c:f>
              <c:numCache>
                <c:formatCode>0_);\(0\)</c:formatCode>
                <c:ptCount val="10"/>
                <c:pt idx="0">
                  <c:v>2019</c:v>
                </c:pt>
                <c:pt idx="1">
                  <c:v>2020</c:v>
                </c:pt>
                <c:pt idx="2">
                  <c:v>2021</c:v>
                </c:pt>
                <c:pt idx="3">
                  <c:v>2022</c:v>
                </c:pt>
                <c:pt idx="4">
                  <c:v>2023</c:v>
                </c:pt>
                <c:pt idx="5">
                  <c:v>2024</c:v>
                </c:pt>
                <c:pt idx="6">
                  <c:v>2025</c:v>
                </c:pt>
                <c:pt idx="7">
                  <c:v>2026</c:v>
                </c:pt>
                <c:pt idx="8">
                  <c:v>2027</c:v>
                </c:pt>
                <c:pt idx="9">
                  <c:v>2028</c:v>
                </c:pt>
              </c:numCache>
            </c:numRef>
          </c:cat>
          <c:val>
            <c:numRef>
              <c:f>'DCF model'!$C$26:$L$26</c:f>
              <c:numCache>
                <c:formatCode>#\ ##0_);\(#\ ##0\)</c:formatCode>
                <c:ptCount val="10"/>
                <c:pt idx="0">
                  <c:v>49683.941496986314</c:v>
                </c:pt>
                <c:pt idx="1">
                  <c:v>51123.341367364381</c:v>
                </c:pt>
                <c:pt idx="2">
                  <c:v>54665.009097464543</c:v>
                </c:pt>
                <c:pt idx="3">
                  <c:v>56803.548829307525</c:v>
                </c:pt>
                <c:pt idx="4">
                  <c:v>60535.743375271602</c:v>
                </c:pt>
                <c:pt idx="5">
                  <c:v>62684.234099383903</c:v>
                </c:pt>
                <c:pt idx="6">
                  <c:v>65175.154242602177</c:v>
                </c:pt>
                <c:pt idx="7">
                  <c:v>67799.044742022277</c:v>
                </c:pt>
                <c:pt idx="8">
                  <c:v>70536.597607568183</c:v>
                </c:pt>
                <c:pt idx="9">
                  <c:v>73377.244449766367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B7EA-461B-972F-367AA641F559}"/>
            </c:ext>
          </c:extLst>
        </c:ser>
        <c:ser>
          <c:idx val="1"/>
          <c:order val="1"/>
          <c:tx>
            <c:strRef>
              <c:f>'DCF model'!$A$29</c:f>
              <c:strCache>
                <c:ptCount val="1"/>
                <c:pt idx="0">
                  <c:v>Cash flows actualisés</c:v>
                </c:pt>
              </c:strCache>
            </c:strRef>
          </c:tx>
          <c:spPr>
            <a:solidFill>
              <a:srgbClr val="00B050"/>
            </a:solidFill>
            <a:ln>
              <a:solidFill>
                <a:srgbClr val="00B050"/>
              </a:solidFill>
            </a:ln>
            <a:effectLst>
              <a:outerShdw blurRad="57150" dist="19050" dir="5400000" algn="ctr" rotWithShape="0">
                <a:srgbClr val="000000">
                  <a:alpha val="63000"/>
                </a:srgbClr>
              </a:outerShdw>
            </a:effectLst>
          </c:spPr>
          <c:invertIfNegative val="0"/>
          <c:cat>
            <c:numRef>
              <c:f>'DCF model'!$C$20:$L$20</c:f>
              <c:numCache>
                <c:formatCode>0_);\(0\)</c:formatCode>
                <c:ptCount val="10"/>
                <c:pt idx="0">
                  <c:v>2019</c:v>
                </c:pt>
                <c:pt idx="1">
                  <c:v>2020</c:v>
                </c:pt>
                <c:pt idx="2">
                  <c:v>2021</c:v>
                </c:pt>
                <c:pt idx="3">
                  <c:v>2022</c:v>
                </c:pt>
                <c:pt idx="4">
                  <c:v>2023</c:v>
                </c:pt>
                <c:pt idx="5">
                  <c:v>2024</c:v>
                </c:pt>
                <c:pt idx="6">
                  <c:v>2025</c:v>
                </c:pt>
                <c:pt idx="7">
                  <c:v>2026</c:v>
                </c:pt>
                <c:pt idx="8">
                  <c:v>2027</c:v>
                </c:pt>
                <c:pt idx="9">
                  <c:v>2028</c:v>
                </c:pt>
              </c:numCache>
            </c:numRef>
          </c:cat>
          <c:val>
            <c:numRef>
              <c:f>'DCF model'!$C$29:$L$29</c:f>
              <c:numCache>
                <c:formatCode>#\ ##0_);\(#\ ##0\)</c:formatCode>
                <c:ptCount val="10"/>
                <c:pt idx="0">
                  <c:v>44818.922757942433</c:v>
                </c:pt>
                <c:pt idx="1">
                  <c:v>41601.594391457671</c:v>
                </c:pt>
                <c:pt idx="2">
                  <c:v>40127.817636993299</c:v>
                </c:pt>
                <c:pt idx="3">
                  <c:v>37614.644177485381</c:v>
                </c:pt>
                <c:pt idx="4">
                  <c:v>36160.859168754519</c:v>
                </c:pt>
                <c:pt idx="5">
                  <c:v>33777.737531489489</c:v>
                </c:pt>
                <c:pt idx="6">
                  <c:v>31681.057712522364</c:v>
                </c:pt>
                <c:pt idx="7">
                  <c:v>29729.427908444082</c:v>
                </c:pt>
                <c:pt idx="8">
                  <c:v>27901.198352359108</c:v>
                </c:pt>
                <c:pt idx="9">
                  <c:v>26182.741621033027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B7EA-461B-972F-367AA641F55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0"/>
        <c:overlap val="-24"/>
        <c:axId val="586611440"/>
        <c:axId val="586619640"/>
      </c:barChart>
      <c:catAx>
        <c:axId val="586611440"/>
        <c:scaling>
          <c:orientation val="minMax"/>
        </c:scaling>
        <c:delete val="0"/>
        <c:axPos val="b"/>
        <c:numFmt formatCode="0_);\(0\)" sourceLinked="1"/>
        <c:majorTickMark val="none"/>
        <c:minorTickMark val="none"/>
        <c:tickLblPos val="nextTo"/>
        <c:spPr>
          <a:noFill/>
          <a:ln w="12700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fr-FR"/>
          </a:p>
        </c:txPr>
        <c:crossAx val="586619640"/>
        <c:crosses val="autoZero"/>
        <c:auto val="1"/>
        <c:lblAlgn val="ctr"/>
        <c:lblOffset val="100"/>
        <c:noMultiLvlLbl val="0"/>
      </c:catAx>
      <c:valAx>
        <c:axId val="58661964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#\ ##0_);\(#\ ##0\)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fr-FR"/>
          </a:p>
        </c:txPr>
        <c:crossAx val="586611440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fr-FR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fr-FR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1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fr-FR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'DCF model'!$A$9</c:f>
              <c:strCache>
                <c:ptCount val="1"/>
                <c:pt idx="0">
                  <c:v>Total Debt Ending Balance</c:v>
                </c:pt>
              </c:strCache>
            </c:strRef>
          </c:tx>
          <c:spPr>
            <a:solidFill>
              <a:schemeClr val="accent1">
                <a:lumMod val="40000"/>
                <a:lumOff val="60000"/>
              </a:schemeClr>
            </a:solidFill>
            <a:ln>
              <a:solidFill>
                <a:schemeClr val="accent1">
                  <a:lumMod val="75000"/>
                </a:schemeClr>
              </a:solidFill>
            </a:ln>
            <a:effectLst>
              <a:outerShdw blurRad="57150" dist="19050" dir="5400000" algn="ctr" rotWithShape="0">
                <a:srgbClr val="000000">
                  <a:alpha val="63000"/>
                </a:srgbClr>
              </a:outerShdw>
            </a:effectLst>
          </c:spPr>
          <c:invertIfNegative val="0"/>
          <c:cat>
            <c:numRef>
              <c:f>'DCF model'!$B$3:$M$3</c:f>
              <c:numCache>
                <c:formatCode>0_);\(0\)</c:formatCode>
                <c:ptCount val="12"/>
                <c:pt idx="0" formatCode="General">
                  <c:v>2018</c:v>
                </c:pt>
                <c:pt idx="1">
                  <c:v>2019</c:v>
                </c:pt>
                <c:pt idx="2">
                  <c:v>2020</c:v>
                </c:pt>
                <c:pt idx="3">
                  <c:v>2021</c:v>
                </c:pt>
                <c:pt idx="4">
                  <c:v>2022</c:v>
                </c:pt>
                <c:pt idx="5">
                  <c:v>2023</c:v>
                </c:pt>
                <c:pt idx="6">
                  <c:v>2024</c:v>
                </c:pt>
                <c:pt idx="7">
                  <c:v>2025</c:v>
                </c:pt>
                <c:pt idx="8">
                  <c:v>2026</c:v>
                </c:pt>
                <c:pt idx="9">
                  <c:v>2027</c:v>
                </c:pt>
                <c:pt idx="10">
                  <c:v>2028</c:v>
                </c:pt>
                <c:pt idx="11" formatCode="General">
                  <c:v>2029</c:v>
                </c:pt>
              </c:numCache>
            </c:numRef>
          </c:cat>
          <c:val>
            <c:numRef>
              <c:f>'DCF model'!$B$9:$M$9</c:f>
              <c:numCache>
                <c:formatCode>#\ ##0;[Red]\(#\ ##0\);\-</c:formatCode>
                <c:ptCount val="12"/>
                <c:pt idx="0">
                  <c:v>35671</c:v>
                </c:pt>
                <c:pt idx="1">
                  <c:v>35937.73181917808</c:v>
                </c:pt>
                <c:pt idx="2">
                  <c:v>36204.929751041098</c:v>
                </c:pt>
                <c:pt idx="3">
                  <c:v>16278.718104837259</c:v>
                </c:pt>
                <c:pt idx="4">
                  <c:v>16498.473238506565</c:v>
                </c:pt>
                <c:pt idx="5">
                  <c:v>16507.498895782268</c:v>
                </c:pt>
                <c:pt idx="6">
                  <c:v>16702.723862655734</c:v>
                </c:pt>
                <c:pt idx="7">
                  <c:v>16903.805578535408</c:v>
                </c:pt>
                <c:pt idx="8">
                  <c:v>17110.919745891468</c:v>
                </c:pt>
                <c:pt idx="9">
                  <c:v>17324.247338268211</c:v>
                </c:pt>
                <c:pt idx="10">
                  <c:v>17543.974758416261</c:v>
                </c:pt>
                <c:pt idx="11">
                  <c:v>17770.294001168746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E6D4-4F27-8744-803ED796B80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0"/>
        <c:overlap val="-24"/>
        <c:axId val="586602584"/>
        <c:axId val="586603240"/>
      </c:barChart>
      <c:catAx>
        <c:axId val="58660258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12700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fr-FR"/>
          </a:p>
        </c:txPr>
        <c:crossAx val="586603240"/>
        <c:crosses val="autoZero"/>
        <c:auto val="1"/>
        <c:lblAlgn val="ctr"/>
        <c:lblOffset val="100"/>
        <c:noMultiLvlLbl val="0"/>
      </c:catAx>
      <c:valAx>
        <c:axId val="58660324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#\ ##0;[Red]\(#\ ##0\);\-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fr-FR"/>
          </a:p>
        </c:txPr>
        <c:crossAx val="586602584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fr-FR"/>
    </a:p>
  </c:txPr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6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fr-CA"/>
              <a:t>Évolution des taux de croissance et de la marge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1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fr-FR"/>
        </a:p>
      </c:txPr>
    </c:title>
    <c:autoTitleDeleted val="0"/>
    <c:plotArea>
      <c:layout/>
      <c:barChart>
        <c:barDir val="col"/>
        <c:grouping val="clustered"/>
        <c:varyColors val="0"/>
        <c:ser>
          <c:idx val="2"/>
          <c:order val="2"/>
          <c:tx>
            <c:strRef>
              <c:f>'DCF model (Sans EF préc.)'!$A$39</c:f>
              <c:strCache>
                <c:ptCount val="1"/>
                <c:pt idx="0">
                  <c:v>EBITDA Margin</c:v>
                </c:pt>
              </c:strCache>
            </c:strRef>
          </c:tx>
          <c:spPr>
            <a:solidFill>
              <a:schemeClr val="accent1">
                <a:lumMod val="40000"/>
                <a:lumOff val="60000"/>
              </a:schemeClr>
            </a:solidFill>
            <a:ln w="3175">
              <a:solidFill>
                <a:schemeClr val="accent1"/>
              </a:solidFill>
            </a:ln>
            <a:effectLst>
              <a:outerShdw blurRad="57150" dist="19050" dir="5400000" algn="ctr" rotWithShape="0">
                <a:srgbClr val="000000">
                  <a:alpha val="63000"/>
                </a:srgbClr>
              </a:outerShdw>
            </a:effectLst>
          </c:spPr>
          <c:invertIfNegative val="0"/>
          <c:cat>
            <c:numRef>
              <c:f>'DCF model (Sans EF préc.)'!$B$34:$M$34</c:f>
              <c:numCache>
                <c:formatCode>0_);\(0\)</c:formatCode>
                <c:ptCount val="12"/>
                <c:pt idx="0" formatCode="General">
                  <c:v>2018</c:v>
                </c:pt>
                <c:pt idx="1">
                  <c:v>2019</c:v>
                </c:pt>
                <c:pt idx="2">
                  <c:v>2020</c:v>
                </c:pt>
                <c:pt idx="3">
                  <c:v>2021</c:v>
                </c:pt>
                <c:pt idx="4">
                  <c:v>2022</c:v>
                </c:pt>
                <c:pt idx="5">
                  <c:v>2023</c:v>
                </c:pt>
                <c:pt idx="6">
                  <c:v>2024</c:v>
                </c:pt>
                <c:pt idx="7">
                  <c:v>2025</c:v>
                </c:pt>
                <c:pt idx="8">
                  <c:v>2026</c:v>
                </c:pt>
                <c:pt idx="9">
                  <c:v>2027</c:v>
                </c:pt>
                <c:pt idx="10">
                  <c:v>2028</c:v>
                </c:pt>
              </c:numCache>
            </c:numRef>
          </c:cat>
          <c:val>
            <c:numRef>
              <c:f>'DCF model (Sans EF préc.)'!$B$39:$M$39</c:f>
              <c:numCache>
                <c:formatCode>_(0.0%_);\(0.0%\);_("–"_)_%;_(@_)_%</c:formatCode>
                <c:ptCount val="12"/>
                <c:pt idx="1">
                  <c:v>0.61952380952380948</c:v>
                </c:pt>
                <c:pt idx="2">
                  <c:v>0.62252267573696141</c:v>
                </c:pt>
                <c:pt idx="3">
                  <c:v>0.62547510810211115</c:v>
                </c:pt>
                <c:pt idx="4">
                  <c:v>0.62838527091111118</c:v>
                </c:pt>
                <c:pt idx="5">
                  <c:v>0.63123583741452993</c:v>
                </c:pt>
                <c:pt idx="6">
                  <c:v>0.63403221006234767</c:v>
                </c:pt>
                <c:pt idx="7">
                  <c:v>0.63679875066571212</c:v>
                </c:pt>
                <c:pt idx="8">
                  <c:v>0.63954727337281192</c:v>
                </c:pt>
                <c:pt idx="9">
                  <c:v>0.64227890618719596</c:v>
                </c:pt>
                <c:pt idx="10">
                  <c:v>0.64500379241475336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7F43-4C43-884B-DABBA0906BE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47"/>
        <c:axId val="586598320"/>
        <c:axId val="586595368"/>
      </c:barChart>
      <c:lineChart>
        <c:grouping val="standard"/>
        <c:varyColors val="0"/>
        <c:ser>
          <c:idx val="0"/>
          <c:order val="0"/>
          <c:tx>
            <c:strRef>
              <c:f>'DCF model (Sans EF préc.)'!$A$36</c:f>
              <c:strCache>
                <c:ptCount val="1"/>
                <c:pt idx="0">
                  <c:v>Sales Growth Rate</c:v>
                </c:pt>
              </c:strCache>
            </c:strRef>
          </c:tx>
          <c:spPr>
            <a:ln w="34925" cap="rnd">
              <a:solidFill>
                <a:schemeClr val="accent1"/>
              </a:solidFill>
              <a:round/>
            </a:ln>
            <a:effectLst>
              <a:outerShdw blurRad="57150" dist="19050" dir="5400000" algn="ctr" rotWithShape="0">
                <a:srgbClr val="000000">
                  <a:alpha val="63000"/>
                </a:srgbClr>
              </a:outerShdw>
            </a:effectLst>
          </c:spPr>
          <c:marker>
            <c:symbol val="none"/>
          </c:marker>
          <c:cat>
            <c:numRef>
              <c:f>'DCF model (Sans EF préc.)'!$B$34:$M$34</c:f>
              <c:numCache>
                <c:formatCode>0_);\(0\)</c:formatCode>
                <c:ptCount val="12"/>
                <c:pt idx="0" formatCode="General">
                  <c:v>2018</c:v>
                </c:pt>
                <c:pt idx="1">
                  <c:v>2019</c:v>
                </c:pt>
                <c:pt idx="2">
                  <c:v>2020</c:v>
                </c:pt>
                <c:pt idx="3">
                  <c:v>2021</c:v>
                </c:pt>
                <c:pt idx="4">
                  <c:v>2022</c:v>
                </c:pt>
                <c:pt idx="5">
                  <c:v>2023</c:v>
                </c:pt>
                <c:pt idx="6">
                  <c:v>2024</c:v>
                </c:pt>
                <c:pt idx="7">
                  <c:v>2025</c:v>
                </c:pt>
                <c:pt idx="8">
                  <c:v>2026</c:v>
                </c:pt>
                <c:pt idx="9">
                  <c:v>2027</c:v>
                </c:pt>
                <c:pt idx="10">
                  <c:v>2028</c:v>
                </c:pt>
              </c:numCache>
            </c:numRef>
          </c:cat>
          <c:val>
            <c:numRef>
              <c:f>'DCF model (Sans EF préc.)'!$B$36:$M$36</c:f>
              <c:numCache>
                <c:formatCode>_(0.0%_);\(0.0%\);_("–"_)_%;_(@_)_%</c:formatCode>
                <c:ptCount val="12"/>
                <c:pt idx="1">
                  <c:v>5.0000000000000044E-2</c:v>
                </c:pt>
                <c:pt idx="2">
                  <c:v>5.0000000000000044E-2</c:v>
                </c:pt>
                <c:pt idx="3">
                  <c:v>4.7500000000000098E-2</c:v>
                </c:pt>
                <c:pt idx="4">
                  <c:v>4.4999999999999929E-2</c:v>
                </c:pt>
                <c:pt idx="5">
                  <c:v>4.0000000000000036E-2</c:v>
                </c:pt>
                <c:pt idx="6">
                  <c:v>3.499999999999992E-2</c:v>
                </c:pt>
                <c:pt idx="7">
                  <c:v>3.2499999999999973E-2</c:v>
                </c:pt>
                <c:pt idx="8">
                  <c:v>3.125E-2</c:v>
                </c:pt>
                <c:pt idx="9">
                  <c:v>3.0000000000000027E-2</c:v>
                </c:pt>
                <c:pt idx="10">
                  <c:v>3.0000000000000027E-2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7F43-4C43-884B-DABBA0906BE9}"/>
            </c:ext>
          </c:extLst>
        </c:ser>
        <c:ser>
          <c:idx val="1"/>
          <c:order val="1"/>
          <c:tx>
            <c:strRef>
              <c:f>'DCF model (Sans EF préc.)'!$A$38</c:f>
              <c:strCache>
                <c:ptCount val="1"/>
                <c:pt idx="0">
                  <c:v>EBITDA Growth Rate</c:v>
                </c:pt>
              </c:strCache>
            </c:strRef>
          </c:tx>
          <c:spPr>
            <a:ln w="34925" cap="rnd">
              <a:solidFill>
                <a:srgbClr val="00B050"/>
              </a:solidFill>
              <a:round/>
            </a:ln>
            <a:effectLst>
              <a:outerShdw blurRad="57150" dist="19050" dir="5400000" algn="ctr" rotWithShape="0">
                <a:srgbClr val="000000">
                  <a:alpha val="63000"/>
                </a:srgbClr>
              </a:outerShdw>
            </a:effectLst>
          </c:spPr>
          <c:marker>
            <c:symbol val="none"/>
          </c:marker>
          <c:cat>
            <c:numRef>
              <c:f>'DCF model (Sans EF préc.)'!$B$34:$M$34</c:f>
              <c:numCache>
                <c:formatCode>0_);\(0\)</c:formatCode>
                <c:ptCount val="12"/>
                <c:pt idx="0" formatCode="General">
                  <c:v>2018</c:v>
                </c:pt>
                <c:pt idx="1">
                  <c:v>2019</c:v>
                </c:pt>
                <c:pt idx="2">
                  <c:v>2020</c:v>
                </c:pt>
                <c:pt idx="3">
                  <c:v>2021</c:v>
                </c:pt>
                <c:pt idx="4">
                  <c:v>2022</c:v>
                </c:pt>
                <c:pt idx="5">
                  <c:v>2023</c:v>
                </c:pt>
                <c:pt idx="6">
                  <c:v>2024</c:v>
                </c:pt>
                <c:pt idx="7">
                  <c:v>2025</c:v>
                </c:pt>
                <c:pt idx="8">
                  <c:v>2026</c:v>
                </c:pt>
                <c:pt idx="9">
                  <c:v>2027</c:v>
                </c:pt>
                <c:pt idx="10">
                  <c:v>2028</c:v>
                </c:pt>
              </c:numCache>
            </c:numRef>
          </c:cat>
          <c:val>
            <c:numRef>
              <c:f>'DCF model (Sans EF préc.)'!$B$38:$M$38</c:f>
              <c:numCache>
                <c:formatCode>_(0.0%_);\(0.0%\);_("–"_)_%;_(@_)_%</c:formatCode>
                <c:ptCount val="12"/>
                <c:pt idx="2">
                  <c:v>5.5082628747117557E-2</c:v>
                </c:pt>
                <c:pt idx="3">
                  <c:v>5.2467968273337551E-2</c:v>
                </c:pt>
                <c:pt idx="4">
                  <c:v>4.9862096182584636E-2</c:v>
                </c:pt>
                <c:pt idx="5">
                  <c:v>4.4717789071117231E-2</c:v>
                </c:pt>
                <c:pt idx="6">
                  <c:v>3.9585046537195634E-2</c:v>
                </c:pt>
                <c:pt idx="7">
                  <c:v>3.700521775966692E-2</c:v>
                </c:pt>
                <c:pt idx="8">
                  <c:v>3.5701035807990333E-2</c:v>
                </c:pt>
                <c:pt idx="9">
                  <c:v>3.4399333584798963E-2</c:v>
                </c:pt>
                <c:pt idx="10">
                  <c:v>3.4369803814740418E-2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7F43-4C43-884B-DABBA0906BE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50882608"/>
        <c:axId val="550881952"/>
      </c:lineChart>
      <c:catAx>
        <c:axId val="55088260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12700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fr-FR"/>
          </a:p>
        </c:txPr>
        <c:crossAx val="550881952"/>
        <c:crosses val="autoZero"/>
        <c:auto val="1"/>
        <c:lblAlgn val="ctr"/>
        <c:lblOffset val="100"/>
        <c:noMultiLvlLbl val="0"/>
      </c:catAx>
      <c:valAx>
        <c:axId val="55088195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%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fr-FR"/>
          </a:p>
        </c:txPr>
        <c:crossAx val="550882608"/>
        <c:crosses val="autoZero"/>
        <c:crossBetween val="between"/>
      </c:valAx>
      <c:valAx>
        <c:axId val="586595368"/>
        <c:scaling>
          <c:orientation val="minMax"/>
        </c:scaling>
        <c:delete val="0"/>
        <c:axPos val="r"/>
        <c:numFmt formatCode="0%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fr-FR"/>
          </a:p>
        </c:txPr>
        <c:crossAx val="586598320"/>
        <c:crosses val="max"/>
        <c:crossBetween val="between"/>
      </c:valAx>
      <c:catAx>
        <c:axId val="586598320"/>
        <c:scaling>
          <c:orientation val="minMax"/>
        </c:scaling>
        <c:delete val="1"/>
        <c:axPos val="b"/>
        <c:numFmt formatCode="General" sourceLinked="1"/>
        <c:majorTickMark val="none"/>
        <c:minorTickMark val="none"/>
        <c:tickLblPos val="nextTo"/>
        <c:crossAx val="586595368"/>
        <c:crosses val="autoZero"/>
        <c:auto val="1"/>
        <c:lblAlgn val="ctr"/>
        <c:lblOffset val="100"/>
        <c:noMultiLvlLbl val="0"/>
      </c:cat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fr-FR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fr-FR"/>
    </a:p>
  </c:txPr>
  <c:printSettings>
    <c:headerFooter/>
    <c:pageMargins b="0.75" l="0.7" r="0.7" t="0.75" header="0.3" footer="0.3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6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fr-CA"/>
              <a:t>Cash flows vs Cash flows actualisés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1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fr-FR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'DCF model (Sans EF préc.)'!$A$57</c:f>
              <c:strCache>
                <c:ptCount val="1"/>
                <c:pt idx="0">
                  <c:v>Total des cash flows</c:v>
                </c:pt>
              </c:strCache>
            </c:strRef>
          </c:tx>
          <c:spPr>
            <a:gradFill rotWithShape="1">
              <a:gsLst>
                <a:gs pos="0">
                  <a:schemeClr val="accent1">
                    <a:satMod val="103000"/>
                    <a:lumMod val="102000"/>
                    <a:tint val="94000"/>
                  </a:schemeClr>
                </a:gs>
                <a:gs pos="50000">
                  <a:schemeClr val="accent1">
                    <a:satMod val="110000"/>
                    <a:lumMod val="100000"/>
                    <a:shade val="100000"/>
                  </a:schemeClr>
                </a:gs>
                <a:gs pos="100000">
                  <a:schemeClr val="accent1">
                    <a:lumMod val="99000"/>
                    <a:satMod val="120000"/>
                    <a:shade val="78000"/>
                  </a:schemeClr>
                </a:gs>
              </a:gsLst>
              <a:lin ang="5400000" scaled="0"/>
            </a:gradFill>
            <a:ln>
              <a:noFill/>
            </a:ln>
            <a:effectLst>
              <a:outerShdw blurRad="57150" dist="19050" dir="5400000" algn="ctr" rotWithShape="0">
                <a:srgbClr val="000000">
                  <a:alpha val="63000"/>
                </a:srgbClr>
              </a:outerShdw>
            </a:effectLst>
          </c:spPr>
          <c:invertIfNegative val="0"/>
          <c:cat>
            <c:numRef>
              <c:f>'DCF model (Sans EF préc.)'!$C$51:$L$51</c:f>
              <c:numCache>
                <c:formatCode>0_);\(0\)</c:formatCode>
                <c:ptCount val="10"/>
                <c:pt idx="0">
                  <c:v>2019</c:v>
                </c:pt>
                <c:pt idx="1">
                  <c:v>2020</c:v>
                </c:pt>
                <c:pt idx="2">
                  <c:v>2021</c:v>
                </c:pt>
                <c:pt idx="3">
                  <c:v>2022</c:v>
                </c:pt>
                <c:pt idx="4">
                  <c:v>2023</c:v>
                </c:pt>
                <c:pt idx="5">
                  <c:v>2024</c:v>
                </c:pt>
                <c:pt idx="6">
                  <c:v>2025</c:v>
                </c:pt>
                <c:pt idx="7">
                  <c:v>2026</c:v>
                </c:pt>
                <c:pt idx="8">
                  <c:v>2027</c:v>
                </c:pt>
                <c:pt idx="9">
                  <c:v>2028</c:v>
                </c:pt>
              </c:numCache>
            </c:numRef>
          </c:cat>
          <c:val>
            <c:numRef>
              <c:f>'DCF model (Sans EF préc.)'!$C$57:$L$57</c:f>
              <c:numCache>
                <c:formatCode>#\ ##0_);\(#\ ##0\)</c:formatCode>
                <c:ptCount val="10"/>
                <c:pt idx="0">
                  <c:v>2327.4499999999998</c:v>
                </c:pt>
                <c:pt idx="1">
                  <c:v>2455.7249999999999</c:v>
                </c:pt>
                <c:pt idx="2">
                  <c:v>2586.9436312500002</c:v>
                </c:pt>
                <c:pt idx="3">
                  <c:v>2718.4113540000008</c:v>
                </c:pt>
                <c:pt idx="4">
                  <c:v>2845.0803611587498</c:v>
                </c:pt>
                <c:pt idx="5">
                  <c:v>2963.0154516608245</c:v>
                </c:pt>
                <c:pt idx="6">
                  <c:v>3075.4173415040368</c:v>
                </c:pt>
                <c:pt idx="7">
                  <c:v>3186.631019386215</c:v>
                </c:pt>
                <c:pt idx="8">
                  <c:v>3297.7069695699802</c:v>
                </c:pt>
                <c:pt idx="9">
                  <c:v>3411.0328566838257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9B15-4846-B8E2-58C74D45CF9E}"/>
            </c:ext>
          </c:extLst>
        </c:ser>
        <c:ser>
          <c:idx val="1"/>
          <c:order val="1"/>
          <c:tx>
            <c:strRef>
              <c:f>'DCF model (Sans EF préc.)'!$A$60</c:f>
              <c:strCache>
                <c:ptCount val="1"/>
                <c:pt idx="0">
                  <c:v>Cash flows actualisés</c:v>
                </c:pt>
              </c:strCache>
            </c:strRef>
          </c:tx>
          <c:spPr>
            <a:solidFill>
              <a:srgbClr val="00B050"/>
            </a:solidFill>
            <a:ln>
              <a:solidFill>
                <a:srgbClr val="00B050"/>
              </a:solidFill>
            </a:ln>
            <a:effectLst>
              <a:outerShdw blurRad="57150" dist="19050" dir="5400000" algn="ctr" rotWithShape="0">
                <a:srgbClr val="000000">
                  <a:alpha val="63000"/>
                </a:srgbClr>
              </a:outerShdw>
            </a:effectLst>
          </c:spPr>
          <c:invertIfNegative val="0"/>
          <c:cat>
            <c:numRef>
              <c:f>'DCF model (Sans EF préc.)'!$C$51:$L$51</c:f>
              <c:numCache>
                <c:formatCode>0_);\(0\)</c:formatCode>
                <c:ptCount val="10"/>
                <c:pt idx="0">
                  <c:v>2019</c:v>
                </c:pt>
                <c:pt idx="1">
                  <c:v>2020</c:v>
                </c:pt>
                <c:pt idx="2">
                  <c:v>2021</c:v>
                </c:pt>
                <c:pt idx="3">
                  <c:v>2022</c:v>
                </c:pt>
                <c:pt idx="4">
                  <c:v>2023</c:v>
                </c:pt>
                <c:pt idx="5">
                  <c:v>2024</c:v>
                </c:pt>
                <c:pt idx="6">
                  <c:v>2025</c:v>
                </c:pt>
                <c:pt idx="7">
                  <c:v>2026</c:v>
                </c:pt>
                <c:pt idx="8">
                  <c:v>2027</c:v>
                </c:pt>
                <c:pt idx="9">
                  <c:v>2028</c:v>
                </c:pt>
              </c:numCache>
            </c:numRef>
          </c:cat>
          <c:val>
            <c:numRef>
              <c:f>'DCF model (Sans EF préc.)'!$C$60:$L$60</c:f>
              <c:numCache>
                <c:formatCode>#\ ##0_);\(#\ ##0\)</c:formatCode>
                <c:ptCount val="10"/>
                <c:pt idx="0">
                  <c:v>2099.5476330979195</c:v>
                </c:pt>
                <c:pt idx="1">
                  <c:v>1998.3450348607223</c:v>
                </c:pt>
                <c:pt idx="2">
                  <c:v>1898.9917679680045</c:v>
                </c:pt>
                <c:pt idx="3">
                  <c:v>1800.1001331098137</c:v>
                </c:pt>
                <c:pt idx="4">
                  <c:v>1699.5008985993015</c:v>
                </c:pt>
                <c:pt idx="5">
                  <c:v>1596.6368524064139</c:v>
                </c:pt>
                <c:pt idx="6">
                  <c:v>1494.9327764320672</c:v>
                </c:pt>
                <c:pt idx="7">
                  <c:v>1397.3164005795459</c:v>
                </c:pt>
                <c:pt idx="8">
                  <c:v>1304.4288977167355</c:v>
                </c:pt>
                <c:pt idx="9">
                  <c:v>1217.1374465901076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9B15-4846-B8E2-58C74D45CF9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0"/>
        <c:overlap val="-24"/>
        <c:axId val="586611440"/>
        <c:axId val="586619640"/>
      </c:barChart>
      <c:catAx>
        <c:axId val="586611440"/>
        <c:scaling>
          <c:orientation val="minMax"/>
        </c:scaling>
        <c:delete val="0"/>
        <c:axPos val="b"/>
        <c:numFmt formatCode="0_);\(0\)" sourceLinked="1"/>
        <c:majorTickMark val="none"/>
        <c:minorTickMark val="none"/>
        <c:tickLblPos val="nextTo"/>
        <c:spPr>
          <a:noFill/>
          <a:ln w="12700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fr-FR"/>
          </a:p>
        </c:txPr>
        <c:crossAx val="586619640"/>
        <c:crosses val="autoZero"/>
        <c:auto val="1"/>
        <c:lblAlgn val="ctr"/>
        <c:lblOffset val="100"/>
        <c:noMultiLvlLbl val="0"/>
      </c:catAx>
      <c:valAx>
        <c:axId val="58661964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#\ ##0_);\(#\ ##0\)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fr-FR"/>
          </a:p>
        </c:txPr>
        <c:crossAx val="586611440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fr-FR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fr-FR"/>
    </a:p>
  </c:txPr>
  <c:printSettings>
    <c:headerFooter/>
    <c:pageMargins b="0.75" l="0.7" r="0.7" t="0.75" header="0.3" footer="0.3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1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fr-FR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'DCF model (Sans EF préc.)'!$A$40</c:f>
              <c:strCache>
                <c:ptCount val="1"/>
                <c:pt idx="0">
                  <c:v>Total Debt Ending Balance</c:v>
                </c:pt>
              </c:strCache>
            </c:strRef>
          </c:tx>
          <c:spPr>
            <a:solidFill>
              <a:schemeClr val="accent1">
                <a:lumMod val="40000"/>
                <a:lumOff val="60000"/>
              </a:schemeClr>
            </a:solidFill>
            <a:ln>
              <a:solidFill>
                <a:schemeClr val="accent1">
                  <a:lumMod val="75000"/>
                </a:schemeClr>
              </a:solidFill>
            </a:ln>
            <a:effectLst>
              <a:outerShdw blurRad="57150" dist="19050" dir="5400000" algn="ctr" rotWithShape="0">
                <a:srgbClr val="000000">
                  <a:alpha val="63000"/>
                </a:srgbClr>
              </a:outerShdw>
            </a:effectLst>
          </c:spPr>
          <c:invertIfNegative val="0"/>
          <c:cat>
            <c:numRef>
              <c:f>'DCF model (Sans EF préc.)'!$B$34:$M$34</c:f>
              <c:numCache>
                <c:formatCode>0_);\(0\)</c:formatCode>
                <c:ptCount val="12"/>
                <c:pt idx="0" formatCode="General">
                  <c:v>2018</c:v>
                </c:pt>
                <c:pt idx="1">
                  <c:v>2019</c:v>
                </c:pt>
                <c:pt idx="2">
                  <c:v>2020</c:v>
                </c:pt>
                <c:pt idx="3">
                  <c:v>2021</c:v>
                </c:pt>
                <c:pt idx="4">
                  <c:v>2022</c:v>
                </c:pt>
                <c:pt idx="5">
                  <c:v>2023</c:v>
                </c:pt>
                <c:pt idx="6">
                  <c:v>2024</c:v>
                </c:pt>
                <c:pt idx="7">
                  <c:v>2025</c:v>
                </c:pt>
                <c:pt idx="8">
                  <c:v>2026</c:v>
                </c:pt>
                <c:pt idx="9">
                  <c:v>2027</c:v>
                </c:pt>
                <c:pt idx="10">
                  <c:v>2028</c:v>
                </c:pt>
              </c:numCache>
            </c:numRef>
          </c:cat>
          <c:val>
            <c:numRef>
              <c:f>'DCF model (Sans EF préc.)'!$B$40:$M$40</c:f>
              <c:numCache>
                <c:formatCode>#\ ##0;[Red]\(#\ ##0\);\-</c:formatCode>
                <c:ptCount val="12"/>
                <c:pt idx="0">
                  <c:v>20000</c:v>
                </c:pt>
                <c:pt idx="1">
                  <c:v>19580.950854015406</c:v>
                </c:pt>
                <c:pt idx="2">
                  <c:v>19140.949250731584</c:v>
                </c:pt>
                <c:pt idx="3">
                  <c:v>18678.947567283572</c:v>
                </c:pt>
                <c:pt idx="4">
                  <c:v>18193.845799663159</c:v>
                </c:pt>
                <c:pt idx="5">
                  <c:v>17684.488943661723</c:v>
                </c:pt>
                <c:pt idx="6">
                  <c:v>17149.664244860218</c:v>
                </c:pt>
                <c:pt idx="7">
                  <c:v>16588.098311118636</c:v>
                </c:pt>
                <c:pt idx="8">
                  <c:v>15998.454080689975</c:v>
                </c:pt>
                <c:pt idx="9">
                  <c:v>15379.327638739882</c:v>
                </c:pt>
                <c:pt idx="10">
                  <c:v>14729.244874692284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F62C-4011-8B72-22750977D1A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0"/>
        <c:overlap val="-24"/>
        <c:axId val="586602584"/>
        <c:axId val="586603240"/>
      </c:barChart>
      <c:catAx>
        <c:axId val="58660258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12700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fr-FR"/>
          </a:p>
        </c:txPr>
        <c:crossAx val="586603240"/>
        <c:crosses val="autoZero"/>
        <c:auto val="1"/>
        <c:lblAlgn val="ctr"/>
        <c:lblOffset val="100"/>
        <c:noMultiLvlLbl val="0"/>
      </c:catAx>
      <c:valAx>
        <c:axId val="58660324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#\ ##0;[Red]\(#\ ##0\);\-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fr-FR"/>
          </a:p>
        </c:txPr>
        <c:crossAx val="586602584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fr-FR"/>
    </a:p>
  </c:txPr>
  <c:printSettings>
    <c:headerFooter/>
    <c:pageMargins b="0.75" l="0.7" r="0.7" t="0.75" header="0.3" footer="0.3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600" b="1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  <a:r>
              <a:rPr lang="fr-CA"/>
              <a:t>Comparable Transaction Analysis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1" i="0" u="none" strike="noStrike" kern="1200" baseline="0">
              <a:solidFill>
                <a:schemeClr val="tx2"/>
              </a:solidFill>
              <a:latin typeface="+mn-lt"/>
              <a:ea typeface="+mn-ea"/>
              <a:cs typeface="+mn-cs"/>
            </a:defRPr>
          </a:pPr>
          <a:endParaRPr lang="fr-FR"/>
        </a:p>
      </c:txPr>
    </c:title>
    <c:autoTitleDeleted val="0"/>
    <c:plotArea>
      <c:layout/>
      <c:barChart>
        <c:barDir val="bar"/>
        <c:grouping val="stacked"/>
        <c:varyColors val="0"/>
        <c:ser>
          <c:idx val="0"/>
          <c:order val="0"/>
          <c:tx>
            <c:strRef>
              <c:f>'Comparable trans.'!$AA$19</c:f>
              <c:strCache>
                <c:ptCount val="1"/>
                <c:pt idx="0">
                  <c:v>Min</c:v>
                </c:pt>
              </c:strCache>
            </c:strRef>
          </c:tx>
          <c:spPr>
            <a:noFill/>
            <a:ln>
              <a:noFill/>
            </a:ln>
            <a:effectLst/>
          </c:spPr>
          <c:invertIfNegative val="0"/>
          <c:cat>
            <c:strRef>
              <c:f>'Comparable trans.'!$Z$20:$Z$22</c:f>
              <c:strCache>
                <c:ptCount val="3"/>
                <c:pt idx="0">
                  <c:v>LTM EBITDA</c:v>
                </c:pt>
                <c:pt idx="1">
                  <c:v>LTM EBIT</c:v>
                </c:pt>
                <c:pt idx="2">
                  <c:v>LTM Sales</c:v>
                </c:pt>
              </c:strCache>
            </c:strRef>
          </c:cat>
          <c:val>
            <c:numRef>
              <c:f>'Comparable trans.'!$AA$20:$AA$22</c:f>
              <c:numCache>
                <c:formatCode>#\ ##0.00_);\(#\ ##0.00\)</c:formatCode>
                <c:ptCount val="3"/>
                <c:pt idx="0">
                  <c:v>8.9538005610884372</c:v>
                </c:pt>
                <c:pt idx="1">
                  <c:v>12.183941573598199</c:v>
                </c:pt>
                <c:pt idx="2">
                  <c:v>3.0594111410614122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1A8C-42DE-97E6-0E8EE8687A55}"/>
            </c:ext>
          </c:extLst>
        </c:ser>
        <c:ser>
          <c:idx val="1"/>
          <c:order val="1"/>
          <c:tx>
            <c:strRef>
              <c:f>'Comparable trans.'!$AB$19</c:f>
              <c:strCache>
                <c:ptCount val="1"/>
                <c:pt idx="0">
                  <c:v>Différence</c:v>
                </c:pt>
              </c:strCache>
            </c:strRef>
          </c:tx>
          <c:spPr>
            <a:solidFill>
              <a:schemeClr val="accent1">
                <a:lumMod val="75000"/>
              </a:schemeClr>
            </a:solidFill>
            <a:ln>
              <a:solidFill>
                <a:schemeClr val="accent1">
                  <a:lumMod val="75000"/>
                </a:schemeClr>
              </a:solidFill>
            </a:ln>
            <a:effectLst/>
          </c:spPr>
          <c:invertIfNegative val="0"/>
          <c:cat>
            <c:strRef>
              <c:f>'Comparable trans.'!$Z$20:$Z$22</c:f>
              <c:strCache>
                <c:ptCount val="3"/>
                <c:pt idx="0">
                  <c:v>LTM EBITDA</c:v>
                </c:pt>
                <c:pt idx="1">
                  <c:v>LTM EBIT</c:v>
                </c:pt>
                <c:pt idx="2">
                  <c:v>LTM Sales</c:v>
                </c:pt>
              </c:strCache>
            </c:strRef>
          </c:cat>
          <c:val>
            <c:numRef>
              <c:f>'Comparable trans.'!$AB$20:$AB$22</c:f>
              <c:numCache>
                <c:formatCode>#\ ##0.00_);\(#\ ##0.00\)</c:formatCode>
                <c:ptCount val="3"/>
                <c:pt idx="0">
                  <c:v>3.5091098369702518</c:v>
                </c:pt>
                <c:pt idx="1">
                  <c:v>6.0461004327504408</c:v>
                </c:pt>
                <c:pt idx="2">
                  <c:v>7.0592962256747676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1A8C-42DE-97E6-0E8EE8687A5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overlap val="100"/>
        <c:axId val="558534960"/>
        <c:axId val="558536272"/>
      </c:barChart>
      <c:catAx>
        <c:axId val="558534960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2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  <a:endParaRPr lang="fr-FR"/>
          </a:p>
        </c:txPr>
        <c:crossAx val="558536272"/>
        <c:crosses val="autoZero"/>
        <c:auto val="1"/>
        <c:lblAlgn val="ctr"/>
        <c:lblOffset val="100"/>
        <c:noMultiLvlLbl val="0"/>
      </c:catAx>
      <c:valAx>
        <c:axId val="558536272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2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#,##0\ &quot;$&quot;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  <a:endParaRPr lang="fr-FR"/>
          </a:p>
        </c:txPr>
        <c:crossAx val="558534960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2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fr-FR"/>
    </a:p>
  </c:txPr>
  <c:printSettings>
    <c:headerFooter/>
    <c:pageMargins b="0.75" l="0.7" r="0.7" t="0.75" header="0.3" footer="0.3"/>
    <c:pageSetup/>
  </c:printSettings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fr-CA"/>
              <a:t>Implied Share Price </a:t>
            </a:r>
            <a:r>
              <a:rPr lang="fr-CA" baseline="0"/>
              <a:t>based on Analysts views</a:t>
            </a:r>
            <a:endParaRPr lang="fr-CA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fr-FR"/>
        </a:p>
      </c:txPr>
    </c:title>
    <c:autoTitleDeleted val="0"/>
    <c:plotArea>
      <c:layout/>
      <c:barChart>
        <c:barDir val="bar"/>
        <c:grouping val="stacked"/>
        <c:varyColors val="0"/>
        <c:ser>
          <c:idx val="0"/>
          <c:order val="0"/>
          <c:tx>
            <c:strRef>
              <c:f>'Analyst views'!$B$13</c:f>
              <c:strCache>
                <c:ptCount val="1"/>
                <c:pt idx="0">
                  <c:v>Min</c:v>
                </c:pt>
              </c:strCache>
            </c:strRef>
          </c:tx>
          <c:spPr>
            <a:noFill/>
            <a:ln>
              <a:noFill/>
            </a:ln>
            <a:effectLst/>
          </c:spPr>
          <c:invertIfNegative val="0"/>
          <c:cat>
            <c:strRef>
              <c:f>'Analyst views'!$A$14:$A$19</c:f>
              <c:strCache>
                <c:ptCount val="6"/>
                <c:pt idx="0">
                  <c:v>Global Analyst views</c:v>
                </c:pt>
                <c:pt idx="1">
                  <c:v>BMO</c:v>
                </c:pt>
                <c:pt idx="2">
                  <c:v>CIBC</c:v>
                </c:pt>
                <c:pt idx="3">
                  <c:v>National Bank</c:v>
                </c:pt>
                <c:pt idx="4">
                  <c:v>Desjardins</c:v>
                </c:pt>
                <c:pt idx="5">
                  <c:v>TD Bank</c:v>
                </c:pt>
              </c:strCache>
            </c:strRef>
          </c:cat>
          <c:val>
            <c:numRef>
              <c:f>'Analyst views'!$B$14:$B$19</c:f>
              <c:numCache>
                <c:formatCode>#\ ##0.00_);\(#\ ##0.00\)</c:formatCode>
                <c:ptCount val="6"/>
                <c:pt idx="0">
                  <c:v>13.038790000000001</c:v>
                </c:pt>
                <c:pt idx="1">
                  <c:v>18.038789999999999</c:v>
                </c:pt>
                <c:pt idx="2">
                  <c:v>20.038789999999999</c:v>
                </c:pt>
                <c:pt idx="3">
                  <c:v>16.038789999999999</c:v>
                </c:pt>
                <c:pt idx="4">
                  <c:v>13.038790000000001</c:v>
                </c:pt>
                <c:pt idx="5">
                  <c:v>15.038790000000001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1890-4166-B306-90D07FE41357}"/>
            </c:ext>
          </c:extLst>
        </c:ser>
        <c:ser>
          <c:idx val="1"/>
          <c:order val="1"/>
          <c:tx>
            <c:strRef>
              <c:f>'Analyst views'!$C$13</c:f>
              <c:strCache>
                <c:ptCount val="1"/>
                <c:pt idx="0">
                  <c:v>Diff</c:v>
                </c:pt>
              </c:strCache>
            </c:strRef>
          </c:tx>
          <c:spPr>
            <a:solidFill>
              <a:schemeClr val="accent1">
                <a:lumMod val="75000"/>
              </a:schemeClr>
            </a:solidFill>
            <a:ln>
              <a:solidFill>
                <a:schemeClr val="accent1">
                  <a:lumMod val="75000"/>
                </a:schemeClr>
              </a:solidFill>
            </a:ln>
            <a:effectLst/>
          </c:spPr>
          <c:invertIfNegative val="0"/>
          <c:dPt>
            <c:idx val="0"/>
            <c:invertIfNegative val="0"/>
            <c:bubble3D val="0"/>
            <c:spPr>
              <a:solidFill>
                <a:srgbClr val="00B0F0"/>
              </a:solidFill>
              <a:ln>
                <a:solidFill>
                  <a:schemeClr val="accent1">
                    <a:lumMod val="7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1-8663-4F4B-94CE-A7EC6F8C79AA}"/>
              </c:ext>
            </c:extLst>
          </c:dPt>
          <c:cat>
            <c:strRef>
              <c:f>'Analyst views'!$A$14:$A$19</c:f>
              <c:strCache>
                <c:ptCount val="6"/>
                <c:pt idx="0">
                  <c:v>Global Analyst views</c:v>
                </c:pt>
                <c:pt idx="1">
                  <c:v>BMO</c:v>
                </c:pt>
                <c:pt idx="2">
                  <c:v>CIBC</c:v>
                </c:pt>
                <c:pt idx="3">
                  <c:v>National Bank</c:v>
                </c:pt>
                <c:pt idx="4">
                  <c:v>Desjardins</c:v>
                </c:pt>
                <c:pt idx="5">
                  <c:v>TD Bank</c:v>
                </c:pt>
              </c:strCache>
            </c:strRef>
          </c:cat>
          <c:val>
            <c:numRef>
              <c:f>'Analyst views'!$C$14:$C$19</c:f>
              <c:numCache>
                <c:formatCode>#\ ##0_);\(#\ ##0\)</c:formatCode>
                <c:ptCount val="6"/>
                <c:pt idx="0" formatCode="#\ ##0.00_);\(#\ ##0.00\)">
                  <c:v>7.9999999999999982</c:v>
                </c:pt>
                <c:pt idx="1">
                  <c:v>2</c:v>
                </c:pt>
                <c:pt idx="2">
                  <c:v>1</c:v>
                </c:pt>
                <c:pt idx="3">
                  <c:v>4</c:v>
                </c:pt>
                <c:pt idx="4">
                  <c:v>2.9999999999999982</c:v>
                </c:pt>
                <c:pt idx="5">
                  <c:v>1.9999999999999982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1890-4166-B306-90D07FE4135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overlap val="100"/>
        <c:axId val="613113272"/>
        <c:axId val="613110648"/>
      </c:barChart>
      <c:catAx>
        <c:axId val="613113272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fr-FR"/>
          </a:p>
        </c:txPr>
        <c:crossAx val="613110648"/>
        <c:crosses val="autoZero"/>
        <c:auto val="1"/>
        <c:lblAlgn val="ctr"/>
        <c:lblOffset val="100"/>
        <c:noMultiLvlLbl val="0"/>
      </c:catAx>
      <c:valAx>
        <c:axId val="613110648"/>
        <c:scaling>
          <c:orientation val="minMax"/>
          <c:max val="25"/>
          <c:min val="5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#,##0\ &quot;$&quot;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fr-FR"/>
          </a:p>
        </c:txPr>
        <c:crossAx val="613113272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fr-FR"/>
    </a:p>
  </c:txPr>
  <c:printSettings>
    <c:headerFooter/>
    <c:pageMargins b="0.75" l="0.7" r="0.7" t="0.75" header="0.3" footer="0.3"/>
    <c:pageSetup/>
  </c:printSettings>
</c:chartSpace>
</file>

<file path=xl/charts/chart1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600" b="1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  <a:r>
              <a:rPr lang="fr-CA"/>
              <a:t>Football Field Chart - Implied Share Price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1" i="0" u="none" strike="noStrike" kern="1200" baseline="0">
              <a:solidFill>
                <a:schemeClr val="tx2"/>
              </a:solidFill>
              <a:latin typeface="+mn-lt"/>
              <a:ea typeface="+mn-ea"/>
              <a:cs typeface="+mn-cs"/>
            </a:defRPr>
          </a:pPr>
          <a:endParaRPr lang="fr-FR"/>
        </a:p>
      </c:txPr>
    </c:title>
    <c:autoTitleDeleted val="0"/>
    <c:plotArea>
      <c:layout/>
      <c:barChart>
        <c:barDir val="bar"/>
        <c:grouping val="stacked"/>
        <c:varyColors val="0"/>
        <c:ser>
          <c:idx val="0"/>
          <c:order val="0"/>
          <c:tx>
            <c:strRef>
              <c:f>Sommaire!$B$13</c:f>
              <c:strCache>
                <c:ptCount val="1"/>
                <c:pt idx="0">
                  <c:v>Min</c:v>
                </c:pt>
              </c:strCache>
            </c:strRef>
          </c:tx>
          <c:spPr>
            <a:noFill/>
            <a:ln>
              <a:noFill/>
            </a:ln>
            <a:effectLst/>
          </c:spPr>
          <c:invertIfNegative val="0"/>
          <c:cat>
            <c:strRef>
              <c:f>Sommaire!$A$14:$A$18</c:f>
              <c:strCache>
                <c:ptCount val="5"/>
                <c:pt idx="0">
                  <c:v>DCF analysis</c:v>
                </c:pt>
                <c:pt idx="1">
                  <c:v>Analyst views</c:v>
                </c:pt>
                <c:pt idx="2">
                  <c:v>LTM EBITDA</c:v>
                </c:pt>
                <c:pt idx="3">
                  <c:v>LTM EBIT</c:v>
                </c:pt>
                <c:pt idx="4">
                  <c:v>LTM Sales</c:v>
                </c:pt>
              </c:strCache>
            </c:strRef>
          </c:cat>
          <c:val>
            <c:numRef>
              <c:f>Sommaire!$B$14:$B$18</c:f>
              <c:numCache>
                <c:formatCode>0.0</c:formatCode>
                <c:ptCount val="5"/>
                <c:pt idx="0">
                  <c:v>7.8526725390168011</c:v>
                </c:pt>
                <c:pt idx="1">
                  <c:v>13.038790000000001</c:v>
                </c:pt>
                <c:pt idx="2">
                  <c:v>8.9538005610884372</c:v>
                </c:pt>
                <c:pt idx="3">
                  <c:v>12.183941573598199</c:v>
                </c:pt>
                <c:pt idx="4">
                  <c:v>3.0594111410614122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5C48-42A1-90F5-C033207E9892}"/>
            </c:ext>
          </c:extLst>
        </c:ser>
        <c:ser>
          <c:idx val="1"/>
          <c:order val="1"/>
          <c:tx>
            <c:strRef>
              <c:f>Sommaire!$C$13</c:f>
              <c:strCache>
                <c:ptCount val="1"/>
                <c:pt idx="0">
                  <c:v>Différence</c:v>
                </c:pt>
              </c:strCache>
            </c:strRef>
          </c:tx>
          <c:spPr>
            <a:solidFill>
              <a:schemeClr val="accent1">
                <a:lumMod val="75000"/>
              </a:schemeClr>
            </a:solidFill>
            <a:ln>
              <a:solidFill>
                <a:schemeClr val="accent1">
                  <a:lumMod val="75000"/>
                </a:schemeClr>
              </a:solidFill>
            </a:ln>
            <a:effectLst/>
          </c:spPr>
          <c:invertIfNegative val="0"/>
          <c:cat>
            <c:strRef>
              <c:f>Sommaire!$A$14:$A$18</c:f>
              <c:strCache>
                <c:ptCount val="5"/>
                <c:pt idx="0">
                  <c:v>DCF analysis</c:v>
                </c:pt>
                <c:pt idx="1">
                  <c:v>Analyst views</c:v>
                </c:pt>
                <c:pt idx="2">
                  <c:v>LTM EBITDA</c:v>
                </c:pt>
                <c:pt idx="3">
                  <c:v>LTM EBIT</c:v>
                </c:pt>
                <c:pt idx="4">
                  <c:v>LTM Sales</c:v>
                </c:pt>
              </c:strCache>
            </c:strRef>
          </c:cat>
          <c:val>
            <c:numRef>
              <c:f>Sommaire!$C$14:$C$18</c:f>
              <c:numCache>
                <c:formatCode>0.0</c:formatCode>
                <c:ptCount val="5"/>
                <c:pt idx="0">
                  <c:v>1.6016786916325323</c:v>
                </c:pt>
                <c:pt idx="1">
                  <c:v>7.9999999999999982</c:v>
                </c:pt>
                <c:pt idx="2">
                  <c:v>3.5091098369702518</c:v>
                </c:pt>
                <c:pt idx="3">
                  <c:v>6.0461004327504408</c:v>
                </c:pt>
                <c:pt idx="4">
                  <c:v>7.0592962256747676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5C48-42A1-90F5-C033207E989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overlap val="100"/>
        <c:axId val="586604552"/>
        <c:axId val="586600616"/>
      </c:barChart>
      <c:catAx>
        <c:axId val="586604552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2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  <a:endParaRPr lang="fr-FR"/>
          </a:p>
        </c:txPr>
        <c:crossAx val="586600616"/>
        <c:crosses val="autoZero"/>
        <c:auto val="1"/>
        <c:lblAlgn val="ctr"/>
        <c:lblOffset val="100"/>
        <c:noMultiLvlLbl val="0"/>
      </c:catAx>
      <c:valAx>
        <c:axId val="586600616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2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&quot;$&quot;#,##0_);\(&quot;$&quot;#,##0\)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  <a:endParaRPr lang="fr-FR"/>
          </a:p>
        </c:txPr>
        <c:crossAx val="586604552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2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fr-FR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7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8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9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0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352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12700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2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3"/>
    <cs:fontRef idx="minor">
      <a:schemeClr val="tx1"/>
    </cs:fontRef>
  </cs:dataPoint>
  <cs:dataPoint3D>
    <cs:lnRef idx="0"/>
    <cs:fillRef idx="3">
      <cs:styleClr val="auto"/>
    </cs:fillRef>
    <cs:effectRef idx="3"/>
    <cs:fontRef idx="minor">
      <a:schemeClr val="tx1"/>
    </cs:fontRef>
  </cs:dataPoint3D>
  <cs:dataPointLine>
    <cs:lnRef idx="0">
      <cs:styleClr val="auto"/>
    </cs:lnRef>
    <cs:fillRef idx="3"/>
    <cs:effectRef idx="3"/>
    <cs:fontRef idx="minor">
      <a:schemeClr val="tx1"/>
    </cs:fontRef>
    <cs:spPr>
      <a:ln w="349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3">
      <cs:styleClr val="auto"/>
    </cs:fillRef>
    <cs:effectRef idx="3"/>
    <cs:fontRef idx="minor">
      <a:schemeClr val="tx1"/>
    </cs:fontRef>
    <cs:spPr>
      <a:ln w="9525">
        <a:solidFill>
          <a:schemeClr val="phClr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3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lt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>
    <cs:lnRef idx="0"/>
    <cs:fillRef idx="0"/>
    <cs:effectRef idx="0"/>
    <cs:fontRef idx="minor">
      <a:schemeClr val="lt1"/>
    </cs:fontRef>
  </cs:plotArea>
  <cs:plotArea3D>
    <cs:lnRef idx="0"/>
    <cs:fillRef idx="0"/>
    <cs:effectRef idx="0"/>
    <cs:fontRef idx="minor">
      <a:schemeClr val="lt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12700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600" b="1" kern="1200" baseline="0"/>
  </cs:title>
  <cs:trendline>
    <cs:lnRef idx="0">
      <cs:styleClr val="auto"/>
    </cs:lnRef>
    <cs:fillRef idx="0"/>
    <cs:effectRef idx="0"/>
    <cs:fontRef idx="minor">
      <a:schemeClr val="lt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lt1"/>
    </cs:fontRef>
  </cs:wall>
</cs:chartStyle>
</file>

<file path=xl/charts/style2.xml><?xml version="1.0" encoding="utf-8"?>
<cs:chartStyle xmlns:cs="http://schemas.microsoft.com/office/drawing/2012/chartStyle" xmlns:a="http://schemas.openxmlformats.org/drawingml/2006/main" id="352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12700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2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3"/>
    <cs:fontRef idx="minor">
      <a:schemeClr val="tx1"/>
    </cs:fontRef>
  </cs:dataPoint>
  <cs:dataPoint3D>
    <cs:lnRef idx="0"/>
    <cs:fillRef idx="3">
      <cs:styleClr val="auto"/>
    </cs:fillRef>
    <cs:effectRef idx="3"/>
    <cs:fontRef idx="minor">
      <a:schemeClr val="tx1"/>
    </cs:fontRef>
  </cs:dataPoint3D>
  <cs:dataPointLine>
    <cs:lnRef idx="0">
      <cs:styleClr val="auto"/>
    </cs:lnRef>
    <cs:fillRef idx="3"/>
    <cs:effectRef idx="3"/>
    <cs:fontRef idx="minor">
      <a:schemeClr val="tx1"/>
    </cs:fontRef>
    <cs:spPr>
      <a:ln w="349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3">
      <cs:styleClr val="auto"/>
    </cs:fillRef>
    <cs:effectRef idx="3"/>
    <cs:fontRef idx="minor">
      <a:schemeClr val="tx1"/>
    </cs:fontRef>
    <cs:spPr>
      <a:ln w="9525">
        <a:solidFill>
          <a:schemeClr val="phClr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3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lt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>
    <cs:lnRef idx="0"/>
    <cs:fillRef idx="0"/>
    <cs:effectRef idx="0"/>
    <cs:fontRef idx="minor">
      <a:schemeClr val="lt1"/>
    </cs:fontRef>
  </cs:plotArea>
  <cs:plotArea3D>
    <cs:lnRef idx="0"/>
    <cs:fillRef idx="0"/>
    <cs:effectRef idx="0"/>
    <cs:fontRef idx="minor">
      <a:schemeClr val="lt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12700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600" b="1" kern="1200" baseline="0"/>
  </cs:title>
  <cs:trendline>
    <cs:lnRef idx="0">
      <cs:styleClr val="auto"/>
    </cs:lnRef>
    <cs:fillRef idx="0"/>
    <cs:effectRef idx="0"/>
    <cs:fontRef idx="minor">
      <a:schemeClr val="lt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lt1"/>
    </cs:fontRef>
  </cs:wall>
</cs:chartStyle>
</file>

<file path=xl/charts/style3.xml><?xml version="1.0" encoding="utf-8"?>
<cs:chartStyle xmlns:cs="http://schemas.microsoft.com/office/drawing/2012/chartStyle" xmlns:a="http://schemas.openxmlformats.org/drawingml/2006/main" id="3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12700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2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3"/>
    <cs:fontRef idx="minor">
      <a:schemeClr val="lt1"/>
    </cs:fontRef>
  </cs:dataPoint>
  <cs:dataPoint3D>
    <cs:lnRef idx="0"/>
    <cs:fillRef idx="3">
      <cs:styleClr val="auto"/>
    </cs:fillRef>
    <cs:effectRef idx="3"/>
    <cs:fontRef idx="minor">
      <a:schemeClr val="lt1"/>
    </cs:fontRef>
  </cs:dataPoint3D>
  <cs:dataPointLine>
    <cs:lnRef idx="0">
      <cs:styleClr val="auto"/>
    </cs:lnRef>
    <cs:fillRef idx="3"/>
    <cs:effectRef idx="3"/>
    <cs:fontRef idx="minor">
      <a:schemeClr val="lt1"/>
    </cs:fontRef>
    <cs:spPr>
      <a:ln w="349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3">
      <cs:styleClr val="auto"/>
    </cs:fillRef>
    <cs:effectRef idx="3"/>
    <cs:fontRef idx="minor">
      <a:schemeClr val="lt1"/>
    </cs:fontRef>
    <cs:spPr>
      <a:ln w="9525">
        <a:solidFill>
          <a:schemeClr val="phClr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3"/>
    <cs:fontRef idx="minor">
      <a:schemeClr val="lt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lt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>
    <cs:lnRef idx="0"/>
    <cs:fillRef idx="0"/>
    <cs:effectRef idx="0"/>
    <cs:fontRef idx="minor">
      <a:schemeClr val="lt1"/>
    </cs:fontRef>
  </cs:plotArea>
  <cs:plotArea3D>
    <cs:lnRef idx="0"/>
    <cs:fillRef idx="0"/>
    <cs:effectRef idx="0"/>
    <cs:fontRef idx="minor">
      <a:schemeClr val="lt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12700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600" b="1" kern="1200" baseline="0"/>
  </cs:title>
  <cs:trendline>
    <cs:lnRef idx="0">
      <cs:styleClr val="auto"/>
    </cs:lnRef>
    <cs:fillRef idx="0"/>
    <cs:effectRef idx="0"/>
    <cs:fontRef idx="minor">
      <a:schemeClr val="lt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lt1"/>
    </cs:fontRef>
  </cs:wall>
</cs:chartStyle>
</file>

<file path=xl/charts/style4.xml><?xml version="1.0" encoding="utf-8"?>
<cs:chartStyle xmlns:cs="http://schemas.microsoft.com/office/drawing/2012/chartStyle" xmlns:a="http://schemas.openxmlformats.org/drawingml/2006/main" id="3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12700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2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3"/>
    <cs:fontRef idx="minor">
      <a:schemeClr val="lt1"/>
    </cs:fontRef>
  </cs:dataPoint>
  <cs:dataPoint3D>
    <cs:lnRef idx="0"/>
    <cs:fillRef idx="3">
      <cs:styleClr val="auto"/>
    </cs:fillRef>
    <cs:effectRef idx="3"/>
    <cs:fontRef idx="minor">
      <a:schemeClr val="lt1"/>
    </cs:fontRef>
  </cs:dataPoint3D>
  <cs:dataPointLine>
    <cs:lnRef idx="0">
      <cs:styleClr val="auto"/>
    </cs:lnRef>
    <cs:fillRef idx="3"/>
    <cs:effectRef idx="3"/>
    <cs:fontRef idx="minor">
      <a:schemeClr val="lt1"/>
    </cs:fontRef>
    <cs:spPr>
      <a:ln w="349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3">
      <cs:styleClr val="auto"/>
    </cs:fillRef>
    <cs:effectRef idx="3"/>
    <cs:fontRef idx="minor">
      <a:schemeClr val="lt1"/>
    </cs:fontRef>
    <cs:spPr>
      <a:ln w="9525">
        <a:solidFill>
          <a:schemeClr val="phClr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3"/>
    <cs:fontRef idx="minor">
      <a:schemeClr val="lt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lt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>
    <cs:lnRef idx="0"/>
    <cs:fillRef idx="0"/>
    <cs:effectRef idx="0"/>
    <cs:fontRef idx="minor">
      <a:schemeClr val="lt1"/>
    </cs:fontRef>
  </cs:plotArea>
  <cs:plotArea3D>
    <cs:lnRef idx="0"/>
    <cs:fillRef idx="0"/>
    <cs:effectRef idx="0"/>
    <cs:fontRef idx="minor">
      <a:schemeClr val="lt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12700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600" b="1" kern="1200" baseline="0"/>
  </cs:title>
  <cs:trendline>
    <cs:lnRef idx="0">
      <cs:styleClr val="auto"/>
    </cs:lnRef>
    <cs:fillRef idx="0"/>
    <cs:effectRef idx="0"/>
    <cs:fontRef idx="minor">
      <a:schemeClr val="lt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lt1"/>
    </cs:fontRef>
  </cs:wall>
</cs:chartStyle>
</file>

<file path=xl/charts/style5.xml><?xml version="1.0" encoding="utf-8"?>
<cs:chartStyle xmlns:cs="http://schemas.microsoft.com/office/drawing/2012/chartStyle" xmlns:a="http://schemas.openxmlformats.org/drawingml/2006/main" id="352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12700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2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3"/>
    <cs:fontRef idx="minor">
      <a:schemeClr val="tx1"/>
    </cs:fontRef>
  </cs:dataPoint>
  <cs:dataPoint3D>
    <cs:lnRef idx="0"/>
    <cs:fillRef idx="3">
      <cs:styleClr val="auto"/>
    </cs:fillRef>
    <cs:effectRef idx="3"/>
    <cs:fontRef idx="minor">
      <a:schemeClr val="tx1"/>
    </cs:fontRef>
  </cs:dataPoint3D>
  <cs:dataPointLine>
    <cs:lnRef idx="0">
      <cs:styleClr val="auto"/>
    </cs:lnRef>
    <cs:fillRef idx="3"/>
    <cs:effectRef idx="3"/>
    <cs:fontRef idx="minor">
      <a:schemeClr val="tx1"/>
    </cs:fontRef>
    <cs:spPr>
      <a:ln w="349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3">
      <cs:styleClr val="auto"/>
    </cs:fillRef>
    <cs:effectRef idx="3"/>
    <cs:fontRef idx="minor">
      <a:schemeClr val="tx1"/>
    </cs:fontRef>
    <cs:spPr>
      <a:ln w="9525">
        <a:solidFill>
          <a:schemeClr val="phClr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3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lt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>
    <cs:lnRef idx="0"/>
    <cs:fillRef idx="0"/>
    <cs:effectRef idx="0"/>
    <cs:fontRef idx="minor">
      <a:schemeClr val="lt1"/>
    </cs:fontRef>
  </cs:plotArea>
  <cs:plotArea3D>
    <cs:lnRef idx="0"/>
    <cs:fillRef idx="0"/>
    <cs:effectRef idx="0"/>
    <cs:fontRef idx="minor">
      <a:schemeClr val="lt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12700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600" b="1" kern="1200" baseline="0"/>
  </cs:title>
  <cs:trendline>
    <cs:lnRef idx="0">
      <cs:styleClr val="auto"/>
    </cs:lnRef>
    <cs:fillRef idx="0"/>
    <cs:effectRef idx="0"/>
    <cs:fontRef idx="minor">
      <a:schemeClr val="lt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lt1"/>
    </cs:fontRef>
  </cs:wall>
</cs:chartStyle>
</file>

<file path=xl/charts/style6.xml><?xml version="1.0" encoding="utf-8"?>
<cs:chartStyle xmlns:cs="http://schemas.microsoft.com/office/drawing/2012/chartStyle" xmlns:a="http://schemas.openxmlformats.org/drawingml/2006/main" id="3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12700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2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3"/>
    <cs:fontRef idx="minor">
      <a:schemeClr val="lt1"/>
    </cs:fontRef>
  </cs:dataPoint>
  <cs:dataPoint3D>
    <cs:lnRef idx="0"/>
    <cs:fillRef idx="3">
      <cs:styleClr val="auto"/>
    </cs:fillRef>
    <cs:effectRef idx="3"/>
    <cs:fontRef idx="minor">
      <a:schemeClr val="lt1"/>
    </cs:fontRef>
  </cs:dataPoint3D>
  <cs:dataPointLine>
    <cs:lnRef idx="0">
      <cs:styleClr val="auto"/>
    </cs:lnRef>
    <cs:fillRef idx="3"/>
    <cs:effectRef idx="3"/>
    <cs:fontRef idx="minor">
      <a:schemeClr val="lt1"/>
    </cs:fontRef>
    <cs:spPr>
      <a:ln w="349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3">
      <cs:styleClr val="auto"/>
    </cs:fillRef>
    <cs:effectRef idx="3"/>
    <cs:fontRef idx="minor">
      <a:schemeClr val="lt1"/>
    </cs:fontRef>
    <cs:spPr>
      <a:ln w="9525">
        <a:solidFill>
          <a:schemeClr val="phClr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3"/>
    <cs:fontRef idx="minor">
      <a:schemeClr val="lt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lt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>
    <cs:lnRef idx="0"/>
    <cs:fillRef idx="0"/>
    <cs:effectRef idx="0"/>
    <cs:fontRef idx="minor">
      <a:schemeClr val="lt1"/>
    </cs:fontRef>
  </cs:plotArea>
  <cs:plotArea3D>
    <cs:lnRef idx="0"/>
    <cs:fillRef idx="0"/>
    <cs:effectRef idx="0"/>
    <cs:fontRef idx="minor">
      <a:schemeClr val="lt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12700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600" b="1" kern="1200" baseline="0"/>
  </cs:title>
  <cs:trendline>
    <cs:lnRef idx="0">
      <cs:styleClr val="auto"/>
    </cs:lnRef>
    <cs:fillRef idx="0"/>
    <cs:effectRef idx="0"/>
    <cs:fontRef idx="minor">
      <a:schemeClr val="lt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lt1"/>
    </cs:fontRef>
  </cs:wall>
</cs:chartStyle>
</file>

<file path=xl/charts/style7.xml><?xml version="1.0" encoding="utf-8"?>
<cs:chartStyle xmlns:cs="http://schemas.microsoft.com/office/drawing/2012/chartStyle" xmlns:a="http://schemas.openxmlformats.org/drawingml/2006/main" id="3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12700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2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3"/>
    <cs:fontRef idx="minor">
      <a:schemeClr val="lt1"/>
    </cs:fontRef>
  </cs:dataPoint>
  <cs:dataPoint3D>
    <cs:lnRef idx="0"/>
    <cs:fillRef idx="3">
      <cs:styleClr val="auto"/>
    </cs:fillRef>
    <cs:effectRef idx="3"/>
    <cs:fontRef idx="minor">
      <a:schemeClr val="lt1"/>
    </cs:fontRef>
  </cs:dataPoint3D>
  <cs:dataPointLine>
    <cs:lnRef idx="0">
      <cs:styleClr val="auto"/>
    </cs:lnRef>
    <cs:fillRef idx="3"/>
    <cs:effectRef idx="3"/>
    <cs:fontRef idx="minor">
      <a:schemeClr val="lt1"/>
    </cs:fontRef>
    <cs:spPr>
      <a:ln w="349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3">
      <cs:styleClr val="auto"/>
    </cs:fillRef>
    <cs:effectRef idx="3"/>
    <cs:fontRef idx="minor">
      <a:schemeClr val="lt1"/>
    </cs:fontRef>
    <cs:spPr>
      <a:ln w="9525">
        <a:solidFill>
          <a:schemeClr val="phClr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3"/>
    <cs:fontRef idx="minor">
      <a:schemeClr val="lt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lt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>
    <cs:lnRef idx="0"/>
    <cs:fillRef idx="0"/>
    <cs:effectRef idx="0"/>
    <cs:fontRef idx="minor">
      <a:schemeClr val="lt1"/>
    </cs:fontRef>
  </cs:plotArea>
  <cs:plotArea3D>
    <cs:lnRef idx="0"/>
    <cs:fillRef idx="0"/>
    <cs:effectRef idx="0"/>
    <cs:fontRef idx="minor">
      <a:schemeClr val="lt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12700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600" b="1" kern="1200" baseline="0"/>
  </cs:title>
  <cs:trendline>
    <cs:lnRef idx="0">
      <cs:styleClr val="auto"/>
    </cs:lnRef>
    <cs:fillRef idx="0"/>
    <cs:effectRef idx="0"/>
    <cs:fontRef idx="minor">
      <a:schemeClr val="lt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lt1"/>
    </cs:fontRef>
  </cs:wall>
</cs:chartStyle>
</file>

<file path=xl/charts/style8.xml><?xml version="1.0" encoding="utf-8"?>
<cs:chartStyle xmlns:cs="http://schemas.microsoft.com/office/drawing/2012/chartStyle" xmlns:a="http://schemas.openxmlformats.org/drawingml/2006/main" id="302">
  <cs:axisTitle>
    <cs:lnRef idx="0"/>
    <cs:fillRef idx="0"/>
    <cs:effectRef idx="0"/>
    <cs:fontRef idx="minor">
      <a:schemeClr val="tx2"/>
    </cs:fontRef>
    <cs:defRPr sz="900" b="1" kern="1200"/>
  </cs:axisTitle>
  <cs:categoryAxis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2"/>
    </cs:fontRef>
    <cs:spPr>
      <a:solidFill>
        <a:schemeClr val="bg1"/>
      </a:solidFill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2"/>
    </cs:fontRef>
    <cs:defRPr sz="900" kern="1200"/>
  </cs:dataLabel>
  <cs:dataLabelCallout>
    <cs:lnRef idx="0"/>
    <cs:fillRef idx="0"/>
    <cs:effectRef idx="0"/>
    <cs:fontRef idx="minor">
      <a:schemeClr val="dk2">
        <a:lumMod val="7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2"/>
    <cs:fontRef idx="minor">
      <a:schemeClr val="tx2"/>
    </cs:fontRef>
  </cs:dataPoint>
  <cs:dataPoint3D>
    <cs:lnRef idx="0"/>
    <cs:fillRef idx="3">
      <cs:styleClr val="auto"/>
    </cs:fillRef>
    <cs:effectRef idx="2"/>
    <cs:fontRef idx="minor">
      <a:schemeClr val="tx2"/>
    </cs:fontRef>
  </cs:dataPoint3D>
  <cs:dataPointLine>
    <cs:lnRef idx="0">
      <cs:styleClr val="auto"/>
    </cs:lnRef>
    <cs:fillRef idx="3"/>
    <cs:effectRef idx="2"/>
    <cs:fontRef idx="minor">
      <a:schemeClr val="tx2"/>
    </cs:fontRef>
    <cs:spPr>
      <a:ln w="31750" cap="rnd">
        <a:solidFill>
          <a:schemeClr val="phClr"/>
        </a:solidFill>
        <a:round/>
      </a:ln>
    </cs:spPr>
  </cs:dataPointLine>
  <cs:dataPointMarker>
    <cs:lnRef idx="0"/>
    <cs:fillRef idx="3">
      <cs:styleClr val="auto"/>
    </cs:fillRef>
    <cs:effectRef idx="2"/>
    <cs:fontRef idx="minor">
      <a:schemeClr val="tx2"/>
    </cs:fontRef>
    <cs:spPr>
      <a:ln w="12700">
        <a:solidFill>
          <a:schemeClr val="lt2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2"/>
    <cs:fontRef idx="minor">
      <a:schemeClr val="tx2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2"/>
    </cs:fontRef>
    <cs:spPr>
      <a:ln w="9525">
        <a:solidFill>
          <a:schemeClr val="tx2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tx2"/>
    </cs:fontRef>
    <cs:spPr>
      <a:ln w="9525">
        <a:solidFill>
          <a:schemeClr val="tx2">
            <a:lumMod val="75000"/>
          </a:schemeClr>
        </a:solidFill>
        <a:round/>
      </a:ln>
    </cs:spPr>
  </cs:errorBar>
  <cs:floor>
    <cs:lnRef idx="0"/>
    <cs:fillRef idx="0"/>
    <cs:effectRef idx="0"/>
    <cs:fontRef idx="minor">
      <a:schemeClr val="tx2"/>
    </cs:fontRef>
  </cs:floor>
  <cs:gridlineMajor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2"/>
    </cs:fontRef>
    <cs:spPr>
      <a:ln>
        <a:solidFill>
          <a:schemeClr val="tx2">
            <a:lumMod val="5000"/>
            <a:lumOff val="95000"/>
          </a:schemeClr>
        </a:solidFill>
      </a:ln>
    </cs:spPr>
  </cs:gridlineMinor>
  <cs:hiLo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2"/>
    </cs:fontRef>
    <cs:defRPr sz="900" kern="1200"/>
  </cs:legend>
  <cs:plotArea>
    <cs:lnRef idx="0"/>
    <cs:fillRef idx="0"/>
    <cs:effectRef idx="0"/>
    <cs:fontRef idx="minor">
      <a:schemeClr val="tx2"/>
    </cs:fontRef>
  </cs:plotArea>
  <cs:plotArea3D>
    <cs:lnRef idx="0"/>
    <cs:fillRef idx="0"/>
    <cs:effectRef idx="0"/>
    <cs:fontRef idx="minor">
      <a:schemeClr val="tx2"/>
    </cs:fontRef>
  </cs:plotArea3D>
  <cs:seriesAxis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seriesLine>
  <cs:title>
    <cs:lnRef idx="0"/>
    <cs:fillRef idx="0"/>
    <cs:effectRef idx="0"/>
    <cs:fontRef idx="minor">
      <a:schemeClr val="tx2"/>
    </cs:fontRef>
    <cs:defRPr sz="1600" b="1" kern="1200"/>
  </cs:title>
  <cs:trendline>
    <cs:lnRef idx="0">
      <cs:styleClr val="auto"/>
    </cs:lnRef>
    <cs:fillRef idx="0"/>
    <cs:effectRef idx="0"/>
    <cs:fontRef idx="minor">
      <a:schemeClr val="tx2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2"/>
    </cs:fontRef>
    <cs:defRPr sz="900" kern="1200"/>
  </cs:trendlineLabel>
  <cs:upBar>
    <cs:lnRef idx="0"/>
    <cs:fillRef idx="0"/>
    <cs:effectRef idx="0"/>
    <cs:fontRef idx="minor">
      <a:schemeClr val="tx2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2"/>
    </cs:fontRef>
    <cs:defRPr sz="900" kern="1200"/>
  </cs:valueAxis>
  <cs:wall>
    <cs:lnRef idx="0"/>
    <cs:fillRef idx="0"/>
    <cs:effectRef idx="0"/>
    <cs:fontRef idx="minor">
      <a:schemeClr val="tx2"/>
    </cs:fontRef>
  </cs:wall>
</cs:chartStyle>
</file>

<file path=xl/charts/style9.xml><?xml version="1.0" encoding="utf-8"?>
<cs:chartStyle xmlns:cs="http://schemas.microsoft.com/office/drawing/2012/chartStyle" xmlns:a="http://schemas.openxmlformats.org/drawingml/2006/main" id="29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0.xml><?xml version="1.0" encoding="utf-8"?>
<cs:chartStyle xmlns:cs="http://schemas.microsoft.com/office/drawing/2012/chartStyle" xmlns:a="http://schemas.openxmlformats.org/drawingml/2006/main" id="302">
  <cs:axisTitle>
    <cs:lnRef idx="0"/>
    <cs:fillRef idx="0"/>
    <cs:effectRef idx="0"/>
    <cs:fontRef idx="minor">
      <a:schemeClr val="tx2"/>
    </cs:fontRef>
    <cs:defRPr sz="900" b="1" kern="1200"/>
  </cs:axisTitle>
  <cs:categoryAxis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2"/>
    </cs:fontRef>
    <cs:spPr>
      <a:solidFill>
        <a:schemeClr val="bg1"/>
      </a:solidFill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2"/>
    </cs:fontRef>
    <cs:defRPr sz="900" kern="1200"/>
  </cs:dataLabel>
  <cs:dataLabelCallout>
    <cs:lnRef idx="0"/>
    <cs:fillRef idx="0"/>
    <cs:effectRef idx="0"/>
    <cs:fontRef idx="minor">
      <a:schemeClr val="dk2">
        <a:lumMod val="7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2"/>
    <cs:fontRef idx="minor">
      <a:schemeClr val="tx2"/>
    </cs:fontRef>
  </cs:dataPoint>
  <cs:dataPoint3D>
    <cs:lnRef idx="0"/>
    <cs:fillRef idx="3">
      <cs:styleClr val="auto"/>
    </cs:fillRef>
    <cs:effectRef idx="2"/>
    <cs:fontRef idx="minor">
      <a:schemeClr val="tx2"/>
    </cs:fontRef>
  </cs:dataPoint3D>
  <cs:dataPointLine>
    <cs:lnRef idx="0">
      <cs:styleClr val="auto"/>
    </cs:lnRef>
    <cs:fillRef idx="3"/>
    <cs:effectRef idx="2"/>
    <cs:fontRef idx="minor">
      <a:schemeClr val="tx2"/>
    </cs:fontRef>
    <cs:spPr>
      <a:ln w="31750" cap="rnd">
        <a:solidFill>
          <a:schemeClr val="phClr"/>
        </a:solidFill>
        <a:round/>
      </a:ln>
    </cs:spPr>
  </cs:dataPointLine>
  <cs:dataPointMarker>
    <cs:lnRef idx="0"/>
    <cs:fillRef idx="3">
      <cs:styleClr val="auto"/>
    </cs:fillRef>
    <cs:effectRef idx="2"/>
    <cs:fontRef idx="minor">
      <a:schemeClr val="tx2"/>
    </cs:fontRef>
    <cs:spPr>
      <a:ln w="12700">
        <a:solidFill>
          <a:schemeClr val="lt2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2"/>
    <cs:fontRef idx="minor">
      <a:schemeClr val="tx2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2"/>
    </cs:fontRef>
    <cs:spPr>
      <a:ln w="9525">
        <a:solidFill>
          <a:schemeClr val="tx2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tx2"/>
    </cs:fontRef>
    <cs:spPr>
      <a:ln w="9525">
        <a:solidFill>
          <a:schemeClr val="tx2">
            <a:lumMod val="75000"/>
          </a:schemeClr>
        </a:solidFill>
        <a:round/>
      </a:ln>
    </cs:spPr>
  </cs:errorBar>
  <cs:floor>
    <cs:lnRef idx="0"/>
    <cs:fillRef idx="0"/>
    <cs:effectRef idx="0"/>
    <cs:fontRef idx="minor">
      <a:schemeClr val="tx2"/>
    </cs:fontRef>
  </cs:floor>
  <cs:gridlineMajor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2"/>
    </cs:fontRef>
    <cs:spPr>
      <a:ln>
        <a:solidFill>
          <a:schemeClr val="tx2">
            <a:lumMod val="5000"/>
            <a:lumOff val="95000"/>
          </a:schemeClr>
        </a:solidFill>
      </a:ln>
    </cs:spPr>
  </cs:gridlineMinor>
  <cs:hiLo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2"/>
    </cs:fontRef>
    <cs:defRPr sz="900" kern="1200"/>
  </cs:legend>
  <cs:plotArea>
    <cs:lnRef idx="0"/>
    <cs:fillRef idx="0"/>
    <cs:effectRef idx="0"/>
    <cs:fontRef idx="minor">
      <a:schemeClr val="tx2"/>
    </cs:fontRef>
  </cs:plotArea>
  <cs:plotArea3D>
    <cs:lnRef idx="0"/>
    <cs:fillRef idx="0"/>
    <cs:effectRef idx="0"/>
    <cs:fontRef idx="minor">
      <a:schemeClr val="tx2"/>
    </cs:fontRef>
  </cs:plotArea3D>
  <cs:seriesAxis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seriesLine>
  <cs:title>
    <cs:lnRef idx="0"/>
    <cs:fillRef idx="0"/>
    <cs:effectRef idx="0"/>
    <cs:fontRef idx="minor">
      <a:schemeClr val="tx2"/>
    </cs:fontRef>
    <cs:defRPr sz="1600" b="1" kern="1200"/>
  </cs:title>
  <cs:trendline>
    <cs:lnRef idx="0">
      <cs:styleClr val="auto"/>
    </cs:lnRef>
    <cs:fillRef idx="0"/>
    <cs:effectRef idx="0"/>
    <cs:fontRef idx="minor">
      <a:schemeClr val="tx2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2"/>
    </cs:fontRef>
    <cs:defRPr sz="900" kern="1200"/>
  </cs:trendlineLabel>
  <cs:upBar>
    <cs:lnRef idx="0"/>
    <cs:fillRef idx="0"/>
    <cs:effectRef idx="0"/>
    <cs:fontRef idx="minor">
      <a:schemeClr val="tx2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2"/>
    </cs:fontRef>
    <cs:defRPr sz="900" kern="1200"/>
  </cs:valueAxis>
  <cs:wall>
    <cs:lnRef idx="0"/>
    <cs:fillRef idx="0"/>
    <cs:effectRef idx="0"/>
    <cs:fontRef idx="minor">
      <a:schemeClr val="tx2"/>
    </cs:fontRef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chart" Target="../charts/chart4.xml"/><Relationship Id="rId2" Type="http://schemas.openxmlformats.org/officeDocument/2006/relationships/chart" Target="../charts/chart3.xml"/><Relationship Id="rId1" Type="http://schemas.openxmlformats.org/officeDocument/2006/relationships/chart" Target="../charts/chart2.xml"/></Relationships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chart" Target="../charts/chart7.xml"/><Relationship Id="rId2" Type="http://schemas.openxmlformats.org/officeDocument/2006/relationships/chart" Target="../charts/chart6.xml"/><Relationship Id="rId1" Type="http://schemas.openxmlformats.org/officeDocument/2006/relationships/chart" Target="../charts/chart5.xml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chart" Target="../charts/chart8.xml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chart" Target="../charts/chart9.xml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0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16</xdr:col>
      <xdr:colOff>200025</xdr:colOff>
      <xdr:row>7</xdr:row>
      <xdr:rowOff>6350</xdr:rowOff>
    </xdr:from>
    <xdr:to>
      <xdr:col>21</xdr:col>
      <xdr:colOff>355600</xdr:colOff>
      <xdr:row>15</xdr:row>
      <xdr:rowOff>19050</xdr:rowOff>
    </xdr:to>
    <xdr:graphicFrame macro="">
      <xdr:nvGraphicFramePr>
        <xdr:cNvPr id="2" name="Graphique 1">
          <a:extLst>
            <a:ext uri="{FF2B5EF4-FFF2-40B4-BE49-F238E27FC236}">
              <a16:creationId xmlns:a16="http://schemas.microsoft.com/office/drawing/2014/main" id="{B50E9936-8443-47E0-B1F0-B82353027ED3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13</xdr:col>
      <xdr:colOff>39687</xdr:colOff>
      <xdr:row>0</xdr:row>
      <xdr:rowOff>0</xdr:rowOff>
    </xdr:from>
    <xdr:to>
      <xdr:col>19</xdr:col>
      <xdr:colOff>39687</xdr:colOff>
      <xdr:row>16</xdr:row>
      <xdr:rowOff>157162</xdr:rowOff>
    </xdr:to>
    <xdr:graphicFrame macro="">
      <xdr:nvGraphicFramePr>
        <xdr:cNvPr id="2" name="Graphique 1">
          <a:extLst>
            <a:ext uri="{FF2B5EF4-FFF2-40B4-BE49-F238E27FC236}">
              <a16:creationId xmlns:a16="http://schemas.microsoft.com/office/drawing/2014/main" id="{68A5BC9F-BACB-4924-AE40-7210F1472DFE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13</xdr:col>
      <xdr:colOff>41275</xdr:colOff>
      <xdr:row>35</xdr:row>
      <xdr:rowOff>3174</xdr:rowOff>
    </xdr:from>
    <xdr:to>
      <xdr:col>19</xdr:col>
      <xdr:colOff>41275</xdr:colOff>
      <xdr:row>69</xdr:row>
      <xdr:rowOff>1587</xdr:rowOff>
    </xdr:to>
    <xdr:graphicFrame macro="">
      <xdr:nvGraphicFramePr>
        <xdr:cNvPr id="3" name="Graphique 2">
          <a:extLst>
            <a:ext uri="{FF2B5EF4-FFF2-40B4-BE49-F238E27FC236}">
              <a16:creationId xmlns:a16="http://schemas.microsoft.com/office/drawing/2014/main" id="{BAAC9D21-ABDE-4B8E-BB50-C562D4E0516E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13</xdr:col>
      <xdr:colOff>51593</xdr:colOff>
      <xdr:row>17</xdr:row>
      <xdr:rowOff>7938</xdr:rowOff>
    </xdr:from>
    <xdr:to>
      <xdr:col>19</xdr:col>
      <xdr:colOff>39687</xdr:colOff>
      <xdr:row>34</xdr:row>
      <xdr:rowOff>161132</xdr:rowOff>
    </xdr:to>
    <xdr:graphicFrame macro="">
      <xdr:nvGraphicFramePr>
        <xdr:cNvPr id="4" name="Graphique 3">
          <a:extLst>
            <a:ext uri="{FF2B5EF4-FFF2-40B4-BE49-F238E27FC236}">
              <a16:creationId xmlns:a16="http://schemas.microsoft.com/office/drawing/2014/main" id="{94E77730-5C87-4820-8A74-F8BD763CF39F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13</xdr:col>
      <xdr:colOff>39687</xdr:colOff>
      <xdr:row>31</xdr:row>
      <xdr:rowOff>0</xdr:rowOff>
    </xdr:from>
    <xdr:to>
      <xdr:col>19</xdr:col>
      <xdr:colOff>39687</xdr:colOff>
      <xdr:row>47</xdr:row>
      <xdr:rowOff>157162</xdr:rowOff>
    </xdr:to>
    <xdr:graphicFrame macro="">
      <xdr:nvGraphicFramePr>
        <xdr:cNvPr id="2" name="Graphique 1">
          <a:extLst>
            <a:ext uri="{FF2B5EF4-FFF2-40B4-BE49-F238E27FC236}">
              <a16:creationId xmlns:a16="http://schemas.microsoft.com/office/drawing/2014/main" id="{EFFBC96E-206A-412D-8071-865027603A25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13</xdr:col>
      <xdr:colOff>41275</xdr:colOff>
      <xdr:row>66</xdr:row>
      <xdr:rowOff>3174</xdr:rowOff>
    </xdr:from>
    <xdr:to>
      <xdr:col>19</xdr:col>
      <xdr:colOff>41275</xdr:colOff>
      <xdr:row>100</xdr:row>
      <xdr:rowOff>1587</xdr:rowOff>
    </xdr:to>
    <xdr:graphicFrame macro="">
      <xdr:nvGraphicFramePr>
        <xdr:cNvPr id="3" name="Graphique 2">
          <a:extLst>
            <a:ext uri="{FF2B5EF4-FFF2-40B4-BE49-F238E27FC236}">
              <a16:creationId xmlns:a16="http://schemas.microsoft.com/office/drawing/2014/main" id="{9DD5D6D5-2039-4E00-B436-8F89CEC5E4A5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13</xdr:col>
      <xdr:colOff>51593</xdr:colOff>
      <xdr:row>48</xdr:row>
      <xdr:rowOff>7938</xdr:rowOff>
    </xdr:from>
    <xdr:to>
      <xdr:col>19</xdr:col>
      <xdr:colOff>39687</xdr:colOff>
      <xdr:row>65</xdr:row>
      <xdr:rowOff>161132</xdr:rowOff>
    </xdr:to>
    <xdr:graphicFrame macro="">
      <xdr:nvGraphicFramePr>
        <xdr:cNvPr id="4" name="Graphique 3">
          <a:extLst>
            <a:ext uri="{FF2B5EF4-FFF2-40B4-BE49-F238E27FC236}">
              <a16:creationId xmlns:a16="http://schemas.microsoft.com/office/drawing/2014/main" id="{D05DF11C-E09E-4C22-93D6-2A9F9146F75A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23</xdr:col>
      <xdr:colOff>625475</xdr:colOff>
      <xdr:row>22</xdr:row>
      <xdr:rowOff>152400</xdr:rowOff>
    </xdr:from>
    <xdr:to>
      <xdr:col>29</xdr:col>
      <xdr:colOff>625475</xdr:colOff>
      <xdr:row>37</xdr:row>
      <xdr:rowOff>82550</xdr:rowOff>
    </xdr:to>
    <xdr:graphicFrame macro="">
      <xdr:nvGraphicFramePr>
        <xdr:cNvPr id="7" name="Graphique 6">
          <a:extLst>
            <a:ext uri="{FF2B5EF4-FFF2-40B4-BE49-F238E27FC236}">
              <a16:creationId xmlns:a16="http://schemas.microsoft.com/office/drawing/2014/main" id="{B2DC68F6-8CD4-42A0-A6A1-F287797CBA4C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</xdr:colOff>
      <xdr:row>21</xdr:row>
      <xdr:rowOff>0</xdr:rowOff>
    </xdr:from>
    <xdr:to>
      <xdr:col>5</xdr:col>
      <xdr:colOff>742950</xdr:colOff>
      <xdr:row>35</xdr:row>
      <xdr:rowOff>165100</xdr:rowOff>
    </xdr:to>
    <xdr:graphicFrame macro="">
      <xdr:nvGraphicFramePr>
        <xdr:cNvPr id="7" name="Graphique 6">
          <a:extLst>
            <a:ext uri="{FF2B5EF4-FFF2-40B4-BE49-F238E27FC236}">
              <a16:creationId xmlns:a16="http://schemas.microsoft.com/office/drawing/2014/main" id="{6EF286E1-8A6C-4675-85D7-7AB56C737622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130175</xdr:colOff>
      <xdr:row>8</xdr:row>
      <xdr:rowOff>57150</xdr:rowOff>
    </xdr:from>
    <xdr:to>
      <xdr:col>9</xdr:col>
      <xdr:colOff>542925</xdr:colOff>
      <xdr:row>23</xdr:row>
      <xdr:rowOff>38100</xdr:rowOff>
    </xdr:to>
    <xdr:graphicFrame macro="">
      <xdr:nvGraphicFramePr>
        <xdr:cNvPr id="2" name="Graphique 1">
          <a:extLst>
            <a:ext uri="{FF2B5EF4-FFF2-40B4-BE49-F238E27FC236}">
              <a16:creationId xmlns:a16="http://schemas.microsoft.com/office/drawing/2014/main" id="{3E7EC986-7502-4B8D-8C8E-633B613AB4EC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7</xdr:col>
      <xdr:colOff>254000</xdr:colOff>
      <xdr:row>11</xdr:row>
      <xdr:rowOff>31750</xdr:rowOff>
    </xdr:from>
    <xdr:to>
      <xdr:col>7</xdr:col>
      <xdr:colOff>946150</xdr:colOff>
      <xdr:row>21</xdr:row>
      <xdr:rowOff>69850</xdr:rowOff>
    </xdr:to>
    <xdr:sp macro="" textlink="">
      <xdr:nvSpPr>
        <xdr:cNvPr id="3" name="Rectangle 2">
          <a:extLst>
            <a:ext uri="{FF2B5EF4-FFF2-40B4-BE49-F238E27FC236}">
              <a16:creationId xmlns:a16="http://schemas.microsoft.com/office/drawing/2014/main" id="{6B658F15-5C6E-4D6B-A9E2-458912E74CBC}"/>
            </a:ext>
          </a:extLst>
        </xdr:cNvPr>
        <xdr:cNvSpPr/>
      </xdr:nvSpPr>
      <xdr:spPr>
        <a:xfrm>
          <a:off x="5492750" y="2279650"/>
          <a:ext cx="692150" cy="1879600"/>
        </a:xfrm>
        <a:prstGeom prst="rect">
          <a:avLst/>
        </a:prstGeom>
        <a:noFill/>
        <a:ln w="28575">
          <a:solidFill>
            <a:srgbClr val="00B050"/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CA" sz="1100"/>
        </a:p>
      </xdr:txBody>
    </xdr:sp>
    <xdr:clientData/>
  </xdr:twoCellAnchor>
</xdr:wsDr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54C9CAC-F739-4F86-BCA0-82B623FB1D32}">
  <dimension ref="A1:T102"/>
  <sheetViews>
    <sheetView zoomScale="80" zoomScaleNormal="80" workbookViewId="0">
      <selection activeCell="W14" sqref="W14"/>
    </sheetView>
  </sheetViews>
  <sheetFormatPr baseColWidth="10" defaultColWidth="10.85546875" defaultRowHeight="15" x14ac:dyDescent="0.25"/>
  <cols>
    <col min="1" max="1" width="2.140625" style="3" customWidth="1"/>
    <col min="2" max="2" width="37.140625" style="10" bestFit="1" customWidth="1"/>
    <col min="3" max="3" width="5.5703125" style="4" bestFit="1" customWidth="1"/>
    <col min="4" max="4" width="2.85546875" style="4" customWidth="1"/>
    <col min="5" max="20" width="10.85546875" style="4"/>
    <col min="21" max="16384" width="10.85546875" style="29"/>
  </cols>
  <sheetData>
    <row r="1" spans="1:20" s="28" customFormat="1" x14ac:dyDescent="0.25">
      <c r="A1" s="3"/>
      <c r="B1" s="9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</row>
    <row r="2" spans="1:20" s="28" customFormat="1" x14ac:dyDescent="0.25">
      <c r="A2" s="3"/>
      <c r="B2" s="9"/>
      <c r="C2" s="3"/>
      <c r="D2" s="3"/>
      <c r="E2" s="27">
        <v>2014</v>
      </c>
      <c r="F2" s="27">
        <f>E2+1</f>
        <v>2015</v>
      </c>
      <c r="G2" s="27">
        <f t="shared" ref="G2:T2" si="0">F2+1</f>
        <v>2016</v>
      </c>
      <c r="H2" s="27">
        <f t="shared" si="0"/>
        <v>2017</v>
      </c>
      <c r="I2" s="27">
        <f t="shared" si="0"/>
        <v>2018</v>
      </c>
      <c r="J2" s="16">
        <f t="shared" si="0"/>
        <v>2019</v>
      </c>
      <c r="K2" s="16">
        <f t="shared" si="0"/>
        <v>2020</v>
      </c>
      <c r="L2" s="16">
        <f t="shared" si="0"/>
        <v>2021</v>
      </c>
      <c r="M2" s="16">
        <f t="shared" si="0"/>
        <v>2022</v>
      </c>
      <c r="N2" s="16">
        <f t="shared" si="0"/>
        <v>2023</v>
      </c>
      <c r="O2" s="16">
        <f t="shared" si="0"/>
        <v>2024</v>
      </c>
      <c r="P2" s="16">
        <f t="shared" si="0"/>
        <v>2025</v>
      </c>
      <c r="Q2" s="16">
        <f t="shared" si="0"/>
        <v>2026</v>
      </c>
      <c r="R2" s="16">
        <f t="shared" si="0"/>
        <v>2027</v>
      </c>
      <c r="S2" s="16">
        <f t="shared" si="0"/>
        <v>2028</v>
      </c>
      <c r="T2" s="16">
        <f t="shared" si="0"/>
        <v>2029</v>
      </c>
    </row>
    <row r="3" spans="1:20" s="28" customFormat="1" x14ac:dyDescent="0.25">
      <c r="A3" s="3"/>
      <c r="B3" s="9"/>
      <c r="C3" s="3"/>
      <c r="D3" s="3"/>
      <c r="E3" s="3"/>
      <c r="F3" s="3"/>
      <c r="G3" s="3"/>
      <c r="H3" s="3"/>
      <c r="I3" s="3"/>
      <c r="J3" s="3">
        <v>1</v>
      </c>
      <c r="K3" s="3">
        <f>J3+1</f>
        <v>2</v>
      </c>
      <c r="L3" s="3">
        <f t="shared" ref="L3:T3" si="1">K3+1</f>
        <v>3</v>
      </c>
      <c r="M3" s="3">
        <f t="shared" si="1"/>
        <v>4</v>
      </c>
      <c r="N3" s="3">
        <f t="shared" si="1"/>
        <v>5</v>
      </c>
      <c r="O3" s="3">
        <f t="shared" si="1"/>
        <v>6</v>
      </c>
      <c r="P3" s="3">
        <f t="shared" si="1"/>
        <v>7</v>
      </c>
      <c r="Q3" s="3">
        <f t="shared" si="1"/>
        <v>8</v>
      </c>
      <c r="R3" s="3">
        <f t="shared" si="1"/>
        <v>9</v>
      </c>
      <c r="S3" s="3">
        <f t="shared" si="1"/>
        <v>10</v>
      </c>
      <c r="T3" s="3">
        <f t="shared" si="1"/>
        <v>11</v>
      </c>
    </row>
    <row r="5" spans="1:20" ht="15.75" x14ac:dyDescent="0.25">
      <c r="A5" s="29"/>
      <c r="B5" s="32" t="s">
        <v>0</v>
      </c>
      <c r="E5" s="27">
        <f t="shared" ref="E5:T5" si="2">E2</f>
        <v>2014</v>
      </c>
      <c r="F5" s="27">
        <f t="shared" si="2"/>
        <v>2015</v>
      </c>
      <c r="G5" s="27">
        <f t="shared" si="2"/>
        <v>2016</v>
      </c>
      <c r="H5" s="27">
        <f t="shared" si="2"/>
        <v>2017</v>
      </c>
      <c r="I5" s="27">
        <f t="shared" si="2"/>
        <v>2018</v>
      </c>
      <c r="J5" s="16">
        <f t="shared" si="2"/>
        <v>2019</v>
      </c>
      <c r="K5" s="16">
        <f t="shared" si="2"/>
        <v>2020</v>
      </c>
      <c r="L5" s="16">
        <f t="shared" si="2"/>
        <v>2021</v>
      </c>
      <c r="M5" s="16">
        <f t="shared" si="2"/>
        <v>2022</v>
      </c>
      <c r="N5" s="16">
        <f t="shared" si="2"/>
        <v>2023</v>
      </c>
      <c r="O5" s="16">
        <f t="shared" si="2"/>
        <v>2024</v>
      </c>
      <c r="P5" s="16">
        <f t="shared" si="2"/>
        <v>2025</v>
      </c>
      <c r="Q5" s="16">
        <f t="shared" si="2"/>
        <v>2026</v>
      </c>
      <c r="R5" s="16">
        <f t="shared" si="2"/>
        <v>2027</v>
      </c>
      <c r="S5" s="16">
        <f t="shared" si="2"/>
        <v>2028</v>
      </c>
      <c r="T5" s="16">
        <f t="shared" si="2"/>
        <v>2029</v>
      </c>
    </row>
    <row r="6" spans="1:20" x14ac:dyDescent="0.25">
      <c r="B6" s="11" t="s">
        <v>1</v>
      </c>
    </row>
    <row r="7" spans="1:20" s="30" customFormat="1" x14ac:dyDescent="0.25">
      <c r="A7" s="3"/>
      <c r="B7" s="10" t="s">
        <v>2</v>
      </c>
      <c r="C7" s="20"/>
      <c r="D7" s="20"/>
      <c r="E7" s="24"/>
      <c r="F7" s="25">
        <f>F24/E24-1</f>
        <v>0.15762643740135474</v>
      </c>
      <c r="G7" s="25">
        <f t="shared" ref="G7:I7" si="3">G24/F24-1</f>
        <v>0.1122825737174602</v>
      </c>
      <c r="H7" s="25">
        <f t="shared" si="3"/>
        <v>8.3718451406600947E-2</v>
      </c>
      <c r="I7" s="25">
        <f t="shared" si="3"/>
        <v>5.9231001608812672E-2</v>
      </c>
      <c r="J7" s="26">
        <v>0.05</v>
      </c>
      <c r="K7" s="26">
        <v>4.4999999999999998E-2</v>
      </c>
      <c r="L7" s="26">
        <v>0.04</v>
      </c>
      <c r="M7" s="26">
        <v>3.5000000000000003E-2</v>
      </c>
      <c r="N7" s="26">
        <v>0.03</v>
      </c>
      <c r="O7" s="26">
        <v>0.03</v>
      </c>
      <c r="P7" s="26">
        <v>0.03</v>
      </c>
      <c r="Q7" s="26">
        <v>0.03</v>
      </c>
      <c r="R7" s="26">
        <v>0.03</v>
      </c>
      <c r="S7" s="26">
        <v>0.03</v>
      </c>
      <c r="T7" s="26">
        <v>0.03</v>
      </c>
    </row>
    <row r="8" spans="1:20" x14ac:dyDescent="0.25">
      <c r="B8" s="10" t="s">
        <v>3</v>
      </c>
      <c r="E8" s="25">
        <f>E25/E24</f>
        <v>0.38255217779172018</v>
      </c>
      <c r="F8" s="25">
        <f t="shared" ref="F8:I8" si="4">F25/F24</f>
        <v>0.40651728401334619</v>
      </c>
      <c r="G8" s="25">
        <f t="shared" si="4"/>
        <v>0.37399977159389397</v>
      </c>
      <c r="H8" s="25">
        <f t="shared" si="4"/>
        <v>0.37412973071708083</v>
      </c>
      <c r="I8" s="25">
        <f t="shared" si="4"/>
        <v>0.38011036531982068</v>
      </c>
      <c r="J8" s="26">
        <v>0.37</v>
      </c>
      <c r="K8" s="26">
        <v>0.37</v>
      </c>
      <c r="L8" s="26">
        <v>0.36</v>
      </c>
      <c r="M8" s="26">
        <v>0.36</v>
      </c>
      <c r="N8" s="26">
        <v>0.35</v>
      </c>
      <c r="O8" s="26">
        <v>0.35</v>
      </c>
      <c r="P8" s="26">
        <v>0.35</v>
      </c>
      <c r="Q8" s="26">
        <v>0.35</v>
      </c>
      <c r="R8" s="26">
        <v>0.35</v>
      </c>
      <c r="S8" s="26">
        <v>0.35</v>
      </c>
      <c r="T8" s="26">
        <v>0.35</v>
      </c>
    </row>
    <row r="9" spans="1:20" x14ac:dyDescent="0.25">
      <c r="B9" s="10" t="s">
        <v>4</v>
      </c>
      <c r="E9" s="4">
        <f>E28</f>
        <v>26427</v>
      </c>
      <c r="F9" s="4">
        <f t="shared" ref="F9:I9" si="5">F28</f>
        <v>22658</v>
      </c>
      <c r="G9" s="4">
        <f t="shared" si="5"/>
        <v>23872</v>
      </c>
      <c r="H9" s="4">
        <f t="shared" si="5"/>
        <v>23002</v>
      </c>
      <c r="I9" s="4">
        <f t="shared" si="5"/>
        <v>25245</v>
      </c>
      <c r="J9" s="21">
        <v>25000</v>
      </c>
      <c r="K9" s="21">
        <v>25000</v>
      </c>
      <c r="L9" s="21">
        <v>25000</v>
      </c>
      <c r="M9" s="21">
        <v>25000</v>
      </c>
      <c r="N9" s="21">
        <v>25000</v>
      </c>
      <c r="O9" s="21">
        <v>25000</v>
      </c>
      <c r="P9" s="21">
        <v>25000</v>
      </c>
      <c r="Q9" s="21">
        <v>25000</v>
      </c>
      <c r="R9" s="21">
        <v>25000</v>
      </c>
      <c r="S9" s="21">
        <v>25000</v>
      </c>
      <c r="T9" s="21">
        <v>25000</v>
      </c>
    </row>
    <row r="10" spans="1:20" x14ac:dyDescent="0.25">
      <c r="B10" s="10" t="s">
        <v>5</v>
      </c>
      <c r="E10" s="4">
        <f>E29</f>
        <v>10963</v>
      </c>
      <c r="F10" s="4">
        <f t="shared" ref="F10:I10" si="6">F29</f>
        <v>10125</v>
      </c>
      <c r="G10" s="4">
        <f t="shared" si="6"/>
        <v>10087</v>
      </c>
      <c r="H10" s="4">
        <f t="shared" si="6"/>
        <v>11020</v>
      </c>
      <c r="I10" s="4">
        <f t="shared" si="6"/>
        <v>11412</v>
      </c>
      <c r="J10" s="21">
        <v>10000</v>
      </c>
      <c r="K10" s="21">
        <v>10000</v>
      </c>
      <c r="L10" s="21">
        <v>10000</v>
      </c>
      <c r="M10" s="21">
        <v>10000</v>
      </c>
      <c r="N10" s="21">
        <v>10000</v>
      </c>
      <c r="O10" s="21">
        <v>10000</v>
      </c>
      <c r="P10" s="21">
        <v>10000</v>
      </c>
      <c r="Q10" s="21">
        <v>10000</v>
      </c>
      <c r="R10" s="21">
        <v>10000</v>
      </c>
      <c r="S10" s="21">
        <v>10000</v>
      </c>
      <c r="T10" s="21">
        <v>10000</v>
      </c>
    </row>
    <row r="11" spans="1:20" x14ac:dyDescent="0.25">
      <c r="B11" s="10" t="s">
        <v>6</v>
      </c>
      <c r="E11" s="25">
        <f>E30/E93</f>
        <v>0.39</v>
      </c>
      <c r="F11" s="25">
        <f>F30/F93</f>
        <v>0.39890109890109893</v>
      </c>
      <c r="G11" s="25">
        <f>G30/G93</f>
        <v>0.4062573789846517</v>
      </c>
      <c r="H11" s="25">
        <f>H30/H93</f>
        <v>0.41210611533192176</v>
      </c>
      <c r="I11" s="25">
        <f>I30/I93</f>
        <v>0.41655872752707113</v>
      </c>
      <c r="J11" s="26">
        <v>0.4</v>
      </c>
      <c r="K11" s="26">
        <v>0.4</v>
      </c>
      <c r="L11" s="26">
        <v>0.4</v>
      </c>
      <c r="M11" s="26">
        <v>0.4</v>
      </c>
      <c r="N11" s="26">
        <v>0.4</v>
      </c>
      <c r="O11" s="26">
        <v>0.4</v>
      </c>
      <c r="P11" s="26">
        <v>0.4</v>
      </c>
      <c r="Q11" s="26">
        <v>0.4</v>
      </c>
      <c r="R11" s="26">
        <v>0.4</v>
      </c>
      <c r="S11" s="26">
        <v>0.4</v>
      </c>
      <c r="T11" s="26">
        <v>0.4</v>
      </c>
    </row>
    <row r="12" spans="1:20" x14ac:dyDescent="0.25">
      <c r="B12" s="10" t="s">
        <v>7</v>
      </c>
      <c r="E12" s="25">
        <f>E102/E99</f>
        <v>0.05</v>
      </c>
      <c r="F12" s="25">
        <f t="shared" ref="F12:I12" si="7">F102/F99</f>
        <v>0.05</v>
      </c>
      <c r="G12" s="25">
        <f t="shared" si="7"/>
        <v>0.03</v>
      </c>
      <c r="H12" s="25">
        <f t="shared" si="7"/>
        <v>0.03</v>
      </c>
      <c r="I12" s="25">
        <f t="shared" si="7"/>
        <v>0.03</v>
      </c>
      <c r="J12" s="26">
        <v>0.03</v>
      </c>
      <c r="K12" s="26">
        <v>0.03</v>
      </c>
      <c r="L12" s="26">
        <v>0.03</v>
      </c>
      <c r="M12" s="26">
        <v>0.03</v>
      </c>
      <c r="N12" s="26">
        <v>0.03</v>
      </c>
      <c r="O12" s="26">
        <v>0.03</v>
      </c>
      <c r="P12" s="26">
        <v>0.03</v>
      </c>
      <c r="Q12" s="26">
        <v>0.03</v>
      </c>
      <c r="R12" s="26">
        <v>0.03</v>
      </c>
      <c r="S12" s="26">
        <v>0.03</v>
      </c>
      <c r="T12" s="26">
        <v>0.03</v>
      </c>
    </row>
    <row r="13" spans="1:20" x14ac:dyDescent="0.25">
      <c r="B13" s="10" t="s">
        <v>8</v>
      </c>
      <c r="E13" s="25">
        <f>E36/E34</f>
        <v>0.31163049526989428</v>
      </c>
      <c r="F13" s="25">
        <f>F36/F34</f>
        <v>0.29178929665445374</v>
      </c>
      <c r="G13" s="25">
        <f>G36/G34</f>
        <v>0.28699506055890112</v>
      </c>
      <c r="H13" s="25">
        <f>H36/H34</f>
        <v>0.28994444592116103</v>
      </c>
      <c r="I13" s="25">
        <f>I36/I34</f>
        <v>0.2912241054613936</v>
      </c>
      <c r="J13" s="26">
        <v>0.28000000000000003</v>
      </c>
      <c r="K13" s="26">
        <v>0.28000000000000003</v>
      </c>
      <c r="L13" s="26">
        <v>0.28000000000000003</v>
      </c>
      <c r="M13" s="26">
        <v>0.28000000000000003</v>
      </c>
      <c r="N13" s="26">
        <v>0.28000000000000003</v>
      </c>
      <c r="O13" s="26">
        <v>0.28000000000000003</v>
      </c>
      <c r="P13" s="26">
        <v>0.28000000000000003</v>
      </c>
      <c r="Q13" s="26">
        <v>0.28000000000000003</v>
      </c>
      <c r="R13" s="26">
        <v>0.28000000000000003</v>
      </c>
      <c r="S13" s="26">
        <v>0.28000000000000003</v>
      </c>
      <c r="T13" s="26">
        <v>0.28000000000000003</v>
      </c>
    </row>
    <row r="14" spans="1:20" x14ac:dyDescent="0.25">
      <c r="B14" s="11" t="s">
        <v>9</v>
      </c>
      <c r="J14" s="21"/>
      <c r="K14" s="21"/>
      <c r="L14" s="21"/>
      <c r="M14" s="21"/>
      <c r="N14" s="21"/>
      <c r="O14" s="21"/>
      <c r="P14" s="21"/>
      <c r="Q14" s="21"/>
      <c r="R14" s="21"/>
      <c r="S14" s="21"/>
      <c r="T14" s="21"/>
    </row>
    <row r="15" spans="1:20" x14ac:dyDescent="0.25">
      <c r="B15" s="10" t="s">
        <v>10</v>
      </c>
      <c r="E15" s="4">
        <f t="shared" ref="E15:I16" si="8">E43/E24*365</f>
        <v>18.248747634966229</v>
      </c>
      <c r="F15" s="4">
        <f t="shared" si="8"/>
        <v>18.249072709720032</v>
      </c>
      <c r="G15" s="4">
        <f t="shared" si="8"/>
        <v>18.249305264760743</v>
      </c>
      <c r="H15" s="4">
        <f t="shared" si="8"/>
        <v>18.249871786765585</v>
      </c>
      <c r="I15" s="4">
        <f t="shared" si="8"/>
        <v>18.250968349560925</v>
      </c>
      <c r="J15" s="21">
        <v>18</v>
      </c>
      <c r="K15" s="21">
        <v>18</v>
      </c>
      <c r="L15" s="21">
        <v>18</v>
      </c>
      <c r="M15" s="21">
        <v>18</v>
      </c>
      <c r="N15" s="21">
        <v>18</v>
      </c>
      <c r="O15" s="21">
        <v>18</v>
      </c>
      <c r="P15" s="21">
        <v>18</v>
      </c>
      <c r="Q15" s="21">
        <v>18</v>
      </c>
      <c r="R15" s="21">
        <v>18</v>
      </c>
      <c r="S15" s="21">
        <v>18</v>
      </c>
      <c r="T15" s="21">
        <v>18</v>
      </c>
    </row>
    <row r="16" spans="1:20" x14ac:dyDescent="0.25">
      <c r="B16" s="10" t="s">
        <v>11</v>
      </c>
      <c r="E16" s="4">
        <f t="shared" si="8"/>
        <v>73.00374138328678</v>
      </c>
      <c r="F16" s="4">
        <f t="shared" si="8"/>
        <v>73.001520706607778</v>
      </c>
      <c r="G16" s="4">
        <f t="shared" si="8"/>
        <v>73.002972131180911</v>
      </c>
      <c r="H16" s="4">
        <f t="shared" si="8"/>
        <v>72.178897359822741</v>
      </c>
      <c r="I16" s="4">
        <f t="shared" si="8"/>
        <v>72.235735473739311</v>
      </c>
      <c r="J16" s="21">
        <v>73</v>
      </c>
      <c r="K16" s="21">
        <v>73</v>
      </c>
      <c r="L16" s="21">
        <v>73</v>
      </c>
      <c r="M16" s="21">
        <v>73</v>
      </c>
      <c r="N16" s="21">
        <v>73</v>
      </c>
      <c r="O16" s="21">
        <v>73</v>
      </c>
      <c r="P16" s="21">
        <v>73</v>
      </c>
      <c r="Q16" s="21">
        <v>73</v>
      </c>
      <c r="R16" s="21">
        <v>73</v>
      </c>
      <c r="S16" s="21">
        <v>73</v>
      </c>
      <c r="T16" s="21">
        <v>73</v>
      </c>
    </row>
    <row r="17" spans="1:20" x14ac:dyDescent="0.25">
      <c r="B17" s="10" t="s">
        <v>12</v>
      </c>
      <c r="E17" s="4">
        <f>E49/E25*365</f>
        <v>36.497193962534915</v>
      </c>
      <c r="F17" s="4">
        <f>F49/F25*365</f>
        <v>36.496958586784437</v>
      </c>
      <c r="G17" s="4">
        <f>G49/G25*365</f>
        <v>36.497770901614317</v>
      </c>
      <c r="H17" s="4">
        <f>H49/H25*365</f>
        <v>36.086021707289596</v>
      </c>
      <c r="I17" s="4">
        <f>I49/I25*365</f>
        <v>36.117867736869655</v>
      </c>
      <c r="J17" s="21">
        <v>37</v>
      </c>
      <c r="K17" s="21">
        <v>37</v>
      </c>
      <c r="L17" s="21">
        <v>37</v>
      </c>
      <c r="M17" s="21">
        <v>37</v>
      </c>
      <c r="N17" s="21">
        <v>37</v>
      </c>
      <c r="O17" s="21">
        <v>37</v>
      </c>
      <c r="P17" s="21">
        <v>37</v>
      </c>
      <c r="Q17" s="21">
        <v>37</v>
      </c>
      <c r="R17" s="21">
        <v>37</v>
      </c>
      <c r="S17" s="21">
        <v>37</v>
      </c>
      <c r="T17" s="21">
        <v>37</v>
      </c>
    </row>
    <row r="18" spans="1:20" x14ac:dyDescent="0.25">
      <c r="B18" s="10" t="s">
        <v>69</v>
      </c>
      <c r="C18" s="23">
        <v>0.1</v>
      </c>
      <c r="E18" s="4">
        <f>E69</f>
        <v>15000</v>
      </c>
      <c r="F18" s="4">
        <f t="shared" ref="F18:I18" si="9">F69</f>
        <v>15000</v>
      </c>
      <c r="G18" s="4">
        <f t="shared" si="9"/>
        <v>15000</v>
      </c>
      <c r="H18" s="4">
        <f t="shared" si="9"/>
        <v>15000</v>
      </c>
      <c r="I18" s="4">
        <f t="shared" si="9"/>
        <v>15000</v>
      </c>
      <c r="J18" s="223">
        <f>(J24-I24)*$C$18</f>
        <v>753.86000000000058</v>
      </c>
      <c r="K18" s="223">
        <f t="shared" ref="K18:T18" si="10">(K24-J24)*$C$18</f>
        <v>712.39769999999851</v>
      </c>
      <c r="L18" s="223">
        <f t="shared" si="10"/>
        <v>661.73830799999996</v>
      </c>
      <c r="M18" s="223">
        <f t="shared" si="10"/>
        <v>602.18186027999911</v>
      </c>
      <c r="N18" s="223">
        <f t="shared" si="10"/>
        <v>534.22133604839917</v>
      </c>
      <c r="O18" s="223">
        <f t="shared" si="10"/>
        <v>550.24797612985128</v>
      </c>
      <c r="P18" s="223">
        <f t="shared" si="10"/>
        <v>566.75541541374696</v>
      </c>
      <c r="Q18" s="223">
        <f t="shared" si="10"/>
        <v>583.75807787615929</v>
      </c>
      <c r="R18" s="223">
        <f t="shared" si="10"/>
        <v>601.27082021244576</v>
      </c>
      <c r="S18" s="223">
        <f t="shared" si="10"/>
        <v>619.3089448188199</v>
      </c>
      <c r="T18" s="223">
        <f t="shared" si="10"/>
        <v>637.88821316338442</v>
      </c>
    </row>
    <row r="19" spans="1:20" x14ac:dyDescent="0.25">
      <c r="B19" s="10" t="s">
        <v>192</v>
      </c>
      <c r="E19" s="4">
        <f>E100</f>
        <v>0</v>
      </c>
      <c r="F19" s="4">
        <f t="shared" ref="F19:I19" si="11">F100</f>
        <v>0</v>
      </c>
      <c r="G19" s="4">
        <f t="shared" si="11"/>
        <v>-20000</v>
      </c>
      <c r="H19" s="4">
        <f t="shared" si="11"/>
        <v>0</v>
      </c>
      <c r="I19" s="4">
        <f t="shared" si="11"/>
        <v>0</v>
      </c>
      <c r="J19" s="21">
        <v>0</v>
      </c>
      <c r="K19" s="21">
        <v>0</v>
      </c>
      <c r="L19" s="21">
        <v>-20000</v>
      </c>
      <c r="M19" s="21">
        <v>0</v>
      </c>
      <c r="N19" s="21">
        <v>0</v>
      </c>
      <c r="O19" s="21">
        <v>0</v>
      </c>
      <c r="P19" s="21">
        <v>0</v>
      </c>
      <c r="Q19" s="21">
        <v>0</v>
      </c>
      <c r="R19" s="21">
        <v>0</v>
      </c>
      <c r="S19" s="21">
        <v>0</v>
      </c>
      <c r="T19" s="21">
        <v>0</v>
      </c>
    </row>
    <row r="20" spans="1:20" x14ac:dyDescent="0.25">
      <c r="B20" s="10" t="s">
        <v>14</v>
      </c>
      <c r="E20" s="4">
        <f>E74</f>
        <v>170000</v>
      </c>
      <c r="F20" s="4">
        <f t="shared" ref="F20:I20" si="12">F74</f>
        <v>0</v>
      </c>
      <c r="G20" s="4">
        <f t="shared" si="12"/>
        <v>0</v>
      </c>
      <c r="H20" s="4">
        <f t="shared" si="12"/>
        <v>0</v>
      </c>
      <c r="I20" s="4">
        <f t="shared" si="12"/>
        <v>0</v>
      </c>
      <c r="J20" s="21">
        <v>0</v>
      </c>
      <c r="K20" s="21">
        <v>0</v>
      </c>
      <c r="L20" s="21">
        <v>0</v>
      </c>
      <c r="M20" s="21">
        <v>-150000</v>
      </c>
      <c r="N20" s="21">
        <v>0</v>
      </c>
      <c r="O20" s="21">
        <v>0</v>
      </c>
      <c r="P20" s="21">
        <v>0</v>
      </c>
      <c r="Q20" s="21">
        <v>0</v>
      </c>
      <c r="R20" s="21">
        <v>0</v>
      </c>
      <c r="S20" s="21">
        <v>0</v>
      </c>
      <c r="T20" s="21">
        <v>0</v>
      </c>
    </row>
    <row r="23" spans="1:20" ht="15.75" x14ac:dyDescent="0.25">
      <c r="B23" s="12" t="s">
        <v>1</v>
      </c>
      <c r="C23" s="5"/>
      <c r="D23" s="5"/>
      <c r="E23" s="27">
        <f t="shared" ref="E23:T23" si="13">E2</f>
        <v>2014</v>
      </c>
      <c r="F23" s="27">
        <f t="shared" si="13"/>
        <v>2015</v>
      </c>
      <c r="G23" s="27">
        <f t="shared" si="13"/>
        <v>2016</v>
      </c>
      <c r="H23" s="27">
        <f t="shared" si="13"/>
        <v>2017</v>
      </c>
      <c r="I23" s="27">
        <f t="shared" si="13"/>
        <v>2018</v>
      </c>
      <c r="J23" s="16">
        <f t="shared" si="13"/>
        <v>2019</v>
      </c>
      <c r="K23" s="16">
        <f t="shared" si="13"/>
        <v>2020</v>
      </c>
      <c r="L23" s="16">
        <f t="shared" si="13"/>
        <v>2021</v>
      </c>
      <c r="M23" s="16">
        <f t="shared" si="13"/>
        <v>2022</v>
      </c>
      <c r="N23" s="16">
        <f t="shared" si="13"/>
        <v>2023</v>
      </c>
      <c r="O23" s="16">
        <f t="shared" si="13"/>
        <v>2024</v>
      </c>
      <c r="P23" s="16">
        <f t="shared" si="13"/>
        <v>2025</v>
      </c>
      <c r="Q23" s="16">
        <f t="shared" si="13"/>
        <v>2026</v>
      </c>
      <c r="R23" s="16">
        <f t="shared" si="13"/>
        <v>2027</v>
      </c>
      <c r="S23" s="16">
        <f t="shared" si="13"/>
        <v>2028</v>
      </c>
      <c r="T23" s="16">
        <f t="shared" si="13"/>
        <v>2029</v>
      </c>
    </row>
    <row r="24" spans="1:20" x14ac:dyDescent="0.25">
      <c r="B24" s="10" t="s">
        <v>15</v>
      </c>
      <c r="E24" s="21">
        <v>102007</v>
      </c>
      <c r="F24" s="21">
        <v>118086</v>
      </c>
      <c r="G24" s="21">
        <v>131345</v>
      </c>
      <c r="H24" s="21">
        <v>142341</v>
      </c>
      <c r="I24" s="21">
        <v>150772</v>
      </c>
      <c r="J24" s="4">
        <f>I24*(1+J7)</f>
        <v>158310.6</v>
      </c>
      <c r="K24" s="4">
        <f t="shared" ref="K24:T24" si="14">J24*(1+K7)</f>
        <v>165434.57699999999</v>
      </c>
      <c r="L24" s="4">
        <f t="shared" si="14"/>
        <v>172051.96007999999</v>
      </c>
      <c r="M24" s="4">
        <f t="shared" si="14"/>
        <v>178073.77868279998</v>
      </c>
      <c r="N24" s="4">
        <f t="shared" si="14"/>
        <v>183415.99204328397</v>
      </c>
      <c r="O24" s="4">
        <f t="shared" si="14"/>
        <v>188918.47180458248</v>
      </c>
      <c r="P24" s="4">
        <f t="shared" si="14"/>
        <v>194586.02595871995</v>
      </c>
      <c r="Q24" s="4">
        <f t="shared" si="14"/>
        <v>200423.60673748155</v>
      </c>
      <c r="R24" s="4">
        <f t="shared" si="14"/>
        <v>206436.314939606</v>
      </c>
      <c r="S24" s="4">
        <f t="shared" si="14"/>
        <v>212629.4043877942</v>
      </c>
      <c r="T24" s="4">
        <f t="shared" si="14"/>
        <v>219008.28651942805</v>
      </c>
    </row>
    <row r="25" spans="1:20" x14ac:dyDescent="0.25">
      <c r="B25" s="10" t="s">
        <v>16</v>
      </c>
      <c r="E25" s="21">
        <v>39023</v>
      </c>
      <c r="F25" s="21">
        <v>48004</v>
      </c>
      <c r="G25" s="21">
        <v>49123</v>
      </c>
      <c r="H25" s="21">
        <v>53254</v>
      </c>
      <c r="I25" s="21">
        <v>57310</v>
      </c>
      <c r="J25" s="4">
        <f>J24*J8</f>
        <v>58574.921999999999</v>
      </c>
      <c r="K25" s="4">
        <f t="shared" ref="K25:N25" si="15">K24*K8</f>
        <v>61210.793489999996</v>
      </c>
      <c r="L25" s="4">
        <f t="shared" si="15"/>
        <v>61938.705628799995</v>
      </c>
      <c r="M25" s="4">
        <f t="shared" si="15"/>
        <v>64106.560325807994</v>
      </c>
      <c r="N25" s="4">
        <f t="shared" si="15"/>
        <v>64195.597215149384</v>
      </c>
      <c r="O25" s="4">
        <f t="shared" ref="O25" si="16">O24*O8</f>
        <v>66121.465131603865</v>
      </c>
      <c r="P25" s="4">
        <f t="shared" ref="P25" si="17">P24*P8</f>
        <v>68105.109085551987</v>
      </c>
      <c r="Q25" s="4">
        <f t="shared" ref="Q25" si="18">Q24*Q8</f>
        <v>70148.262358118533</v>
      </c>
      <c r="R25" s="4">
        <f t="shared" ref="R25" si="19">R24*R8</f>
        <v>72252.710228862095</v>
      </c>
      <c r="S25" s="4">
        <f t="shared" ref="S25" si="20">S24*S8</f>
        <v>74420.291535727971</v>
      </c>
      <c r="T25" s="4">
        <f t="shared" ref="T25" si="21">T24*T8</f>
        <v>76652.900281799812</v>
      </c>
    </row>
    <row r="26" spans="1:20" s="31" customFormat="1" x14ac:dyDescent="0.25">
      <c r="A26" s="3"/>
      <c r="B26" s="36" t="s">
        <v>17</v>
      </c>
      <c r="C26" s="37"/>
      <c r="D26" s="37"/>
      <c r="E26" s="37">
        <f>E24-E25</f>
        <v>62984</v>
      </c>
      <c r="F26" s="37">
        <f t="shared" ref="F26:T26" si="22">F24-F25</f>
        <v>70082</v>
      </c>
      <c r="G26" s="37">
        <f t="shared" si="22"/>
        <v>82222</v>
      </c>
      <c r="H26" s="37">
        <f t="shared" si="22"/>
        <v>89087</v>
      </c>
      <c r="I26" s="37">
        <f t="shared" si="22"/>
        <v>93462</v>
      </c>
      <c r="J26" s="37">
        <f t="shared" si="22"/>
        <v>99735.678000000014</v>
      </c>
      <c r="K26" s="37">
        <f t="shared" si="22"/>
        <v>104223.78350999999</v>
      </c>
      <c r="L26" s="37">
        <f t="shared" si="22"/>
        <v>110113.25445119999</v>
      </c>
      <c r="M26" s="37">
        <f t="shared" si="22"/>
        <v>113967.21835699199</v>
      </c>
      <c r="N26" s="37">
        <f t="shared" si="22"/>
        <v>119220.39482813459</v>
      </c>
      <c r="O26" s="37">
        <f t="shared" si="22"/>
        <v>122797.00667297862</v>
      </c>
      <c r="P26" s="37">
        <f t="shared" si="22"/>
        <v>126480.91687316797</v>
      </c>
      <c r="Q26" s="37">
        <f t="shared" si="22"/>
        <v>130275.34437936301</v>
      </c>
      <c r="R26" s="37">
        <f t="shared" si="22"/>
        <v>134183.60471074391</v>
      </c>
      <c r="S26" s="37">
        <f t="shared" si="22"/>
        <v>138209.11285206623</v>
      </c>
      <c r="T26" s="37">
        <f t="shared" si="22"/>
        <v>142355.38623762823</v>
      </c>
    </row>
    <row r="27" spans="1:20" x14ac:dyDescent="0.25">
      <c r="B27" s="11" t="s">
        <v>20</v>
      </c>
    </row>
    <row r="28" spans="1:20" x14ac:dyDescent="0.25">
      <c r="B28" s="10" t="s">
        <v>4</v>
      </c>
      <c r="E28" s="21">
        <v>26427</v>
      </c>
      <c r="F28" s="21">
        <v>22658</v>
      </c>
      <c r="G28" s="21">
        <v>23872</v>
      </c>
      <c r="H28" s="21">
        <v>23002</v>
      </c>
      <c r="I28" s="21">
        <v>25245</v>
      </c>
      <c r="J28" s="4">
        <f>J9</f>
        <v>25000</v>
      </c>
      <c r="K28" s="4">
        <f t="shared" ref="K28:N28" si="23">K9</f>
        <v>25000</v>
      </c>
      <c r="L28" s="4">
        <f t="shared" si="23"/>
        <v>25000</v>
      </c>
      <c r="M28" s="4">
        <f t="shared" si="23"/>
        <v>25000</v>
      </c>
      <c r="N28" s="4">
        <f t="shared" si="23"/>
        <v>25000</v>
      </c>
      <c r="O28" s="4">
        <f t="shared" ref="O28:T28" si="24">O9</f>
        <v>25000</v>
      </c>
      <c r="P28" s="4">
        <f t="shared" si="24"/>
        <v>25000</v>
      </c>
      <c r="Q28" s="4">
        <f t="shared" si="24"/>
        <v>25000</v>
      </c>
      <c r="R28" s="4">
        <f t="shared" si="24"/>
        <v>25000</v>
      </c>
      <c r="S28" s="4">
        <f t="shared" si="24"/>
        <v>25000</v>
      </c>
      <c r="T28" s="4">
        <f t="shared" si="24"/>
        <v>25000</v>
      </c>
    </row>
    <row r="29" spans="1:20" x14ac:dyDescent="0.25">
      <c r="B29" s="10" t="s">
        <v>5</v>
      </c>
      <c r="E29" s="21">
        <v>10963</v>
      </c>
      <c r="F29" s="21">
        <v>10125</v>
      </c>
      <c r="G29" s="21">
        <v>10087</v>
      </c>
      <c r="H29" s="21">
        <v>11020</v>
      </c>
      <c r="I29" s="21">
        <v>11412</v>
      </c>
      <c r="J29" s="4">
        <f>J10</f>
        <v>10000</v>
      </c>
      <c r="K29" s="4">
        <f t="shared" ref="K29:N29" si="25">K10</f>
        <v>10000</v>
      </c>
      <c r="L29" s="4">
        <f t="shared" si="25"/>
        <v>10000</v>
      </c>
      <c r="M29" s="4">
        <f t="shared" si="25"/>
        <v>10000</v>
      </c>
      <c r="N29" s="4">
        <f t="shared" si="25"/>
        <v>10000</v>
      </c>
      <c r="O29" s="4">
        <f t="shared" ref="O29:T29" si="26">O10</f>
        <v>10000</v>
      </c>
      <c r="P29" s="4">
        <f t="shared" si="26"/>
        <v>10000</v>
      </c>
      <c r="Q29" s="4">
        <f t="shared" si="26"/>
        <v>10000</v>
      </c>
      <c r="R29" s="4">
        <f t="shared" si="26"/>
        <v>10000</v>
      </c>
      <c r="S29" s="4">
        <f t="shared" si="26"/>
        <v>10000</v>
      </c>
      <c r="T29" s="4">
        <f t="shared" si="26"/>
        <v>10000</v>
      </c>
    </row>
    <row r="30" spans="1:20" x14ac:dyDescent="0.25">
      <c r="B30" s="10" t="s">
        <v>6</v>
      </c>
      <c r="E30" s="21">
        <v>19500</v>
      </c>
      <c r="F30" s="21">
        <v>18150</v>
      </c>
      <c r="G30" s="21">
        <v>17205</v>
      </c>
      <c r="H30" s="21">
        <v>16544</v>
      </c>
      <c r="I30" s="21">
        <v>16080</v>
      </c>
      <c r="J30" s="4">
        <f>J95</f>
        <v>15008.800000000001</v>
      </c>
      <c r="K30" s="4">
        <f t="shared" ref="K30:N30" si="27">K95</f>
        <v>9306.8239999999987</v>
      </c>
      <c r="L30" s="4">
        <f t="shared" si="27"/>
        <v>5869.0534799999987</v>
      </c>
      <c r="M30" s="4">
        <f t="shared" si="27"/>
        <v>3786.1274111999992</v>
      </c>
      <c r="N30" s="4">
        <f t="shared" si="27"/>
        <v>2512.5491908319996</v>
      </c>
      <c r="O30" s="4">
        <f t="shared" ref="O30:T30" si="28">O95</f>
        <v>1721.2180489185594</v>
      </c>
      <c r="P30" s="4">
        <f t="shared" si="28"/>
        <v>1252.8300198030761</v>
      </c>
      <c r="Q30" s="4">
        <f t="shared" si="28"/>
        <v>978.40017804734441</v>
      </c>
      <c r="R30" s="4">
        <f t="shared" si="28"/>
        <v>820.54333797887034</v>
      </c>
      <c r="S30" s="4">
        <f t="shared" si="28"/>
        <v>732.8343308723006</v>
      </c>
      <c r="T30" s="4">
        <f t="shared" si="28"/>
        <v>687.42417645090836</v>
      </c>
    </row>
    <row r="31" spans="1:20" s="31" customFormat="1" x14ac:dyDescent="0.25">
      <c r="A31" s="3"/>
      <c r="B31" s="13" t="s">
        <v>19</v>
      </c>
      <c r="C31" s="6"/>
      <c r="D31" s="6"/>
      <c r="E31" s="35">
        <f>SUM(E28:E30)</f>
        <v>56890</v>
      </c>
      <c r="F31" s="35">
        <f t="shared" ref="F31:T31" si="29">SUM(F28:F30)</f>
        <v>50933</v>
      </c>
      <c r="G31" s="35">
        <f t="shared" si="29"/>
        <v>51164</v>
      </c>
      <c r="H31" s="35">
        <f t="shared" si="29"/>
        <v>50566</v>
      </c>
      <c r="I31" s="35">
        <f t="shared" si="29"/>
        <v>52737</v>
      </c>
      <c r="J31" s="35">
        <f t="shared" si="29"/>
        <v>50008.800000000003</v>
      </c>
      <c r="K31" s="35">
        <f t="shared" si="29"/>
        <v>44306.824000000001</v>
      </c>
      <c r="L31" s="35">
        <f t="shared" si="29"/>
        <v>40869.053480000002</v>
      </c>
      <c r="M31" s="35">
        <f t="shared" si="29"/>
        <v>38786.127411199996</v>
      </c>
      <c r="N31" s="35">
        <f t="shared" si="29"/>
        <v>37512.549190831996</v>
      </c>
      <c r="O31" s="35">
        <f t="shared" si="29"/>
        <v>36721.218048918556</v>
      </c>
      <c r="P31" s="35">
        <f t="shared" si="29"/>
        <v>36252.830019803077</v>
      </c>
      <c r="Q31" s="35">
        <f t="shared" si="29"/>
        <v>35978.400178047341</v>
      </c>
      <c r="R31" s="35">
        <f t="shared" si="29"/>
        <v>35820.543337978874</v>
      </c>
      <c r="S31" s="35">
        <f t="shared" si="29"/>
        <v>35732.834330872298</v>
      </c>
      <c r="T31" s="35">
        <f t="shared" si="29"/>
        <v>35687.424176450906</v>
      </c>
    </row>
    <row r="32" spans="1:20" s="31" customFormat="1" x14ac:dyDescent="0.25">
      <c r="A32" s="3"/>
      <c r="B32" s="36" t="s">
        <v>73</v>
      </c>
      <c r="C32" s="37"/>
      <c r="D32" s="37"/>
      <c r="E32" s="38">
        <f>E26-E31</f>
        <v>6094</v>
      </c>
      <c r="F32" s="38">
        <f t="shared" ref="F32:T32" si="30">F26-F31</f>
        <v>19149</v>
      </c>
      <c r="G32" s="38">
        <f t="shared" si="30"/>
        <v>31058</v>
      </c>
      <c r="H32" s="38">
        <f t="shared" si="30"/>
        <v>38521</v>
      </c>
      <c r="I32" s="38">
        <f t="shared" si="30"/>
        <v>40725</v>
      </c>
      <c r="J32" s="38">
        <f t="shared" si="30"/>
        <v>49726.878000000012</v>
      </c>
      <c r="K32" s="38">
        <f t="shared" si="30"/>
        <v>59916.959509999993</v>
      </c>
      <c r="L32" s="38">
        <f t="shared" si="30"/>
        <v>69244.200971199985</v>
      </c>
      <c r="M32" s="38">
        <f t="shared" si="30"/>
        <v>75181.090945791992</v>
      </c>
      <c r="N32" s="38">
        <f t="shared" si="30"/>
        <v>81707.845637302598</v>
      </c>
      <c r="O32" s="38">
        <f t="shared" si="30"/>
        <v>86075.788624060064</v>
      </c>
      <c r="P32" s="38">
        <f t="shared" si="30"/>
        <v>90228.08685336489</v>
      </c>
      <c r="Q32" s="38">
        <f t="shared" si="30"/>
        <v>94296.944201315666</v>
      </c>
      <c r="R32" s="38">
        <f t="shared" si="30"/>
        <v>98363.061372765034</v>
      </c>
      <c r="S32" s="38">
        <f t="shared" si="30"/>
        <v>102476.27852119393</v>
      </c>
      <c r="T32" s="38">
        <f t="shared" si="30"/>
        <v>106667.96206117733</v>
      </c>
    </row>
    <row r="33" spans="1:20" x14ac:dyDescent="0.25">
      <c r="B33" s="10" t="s">
        <v>18</v>
      </c>
      <c r="E33" s="21">
        <v>2500</v>
      </c>
      <c r="F33" s="21">
        <v>2500</v>
      </c>
      <c r="G33" s="21">
        <v>1500</v>
      </c>
      <c r="H33" s="21">
        <v>900</v>
      </c>
      <c r="I33" s="21">
        <v>900</v>
      </c>
      <c r="J33" s="4">
        <f>J102</f>
        <v>900</v>
      </c>
      <c r="K33" s="4">
        <f t="shared" ref="K33:N33" si="31">K102</f>
        <v>900</v>
      </c>
      <c r="L33" s="4">
        <f t="shared" si="31"/>
        <v>900</v>
      </c>
      <c r="M33" s="4">
        <f t="shared" si="31"/>
        <v>300</v>
      </c>
      <c r="N33" s="4">
        <f t="shared" si="31"/>
        <v>300</v>
      </c>
      <c r="O33" s="4">
        <f t="shared" ref="O33:T33" si="32">O102</f>
        <v>300</v>
      </c>
      <c r="P33" s="4">
        <f t="shared" si="32"/>
        <v>300</v>
      </c>
      <c r="Q33" s="4">
        <f t="shared" si="32"/>
        <v>300</v>
      </c>
      <c r="R33" s="4">
        <f t="shared" si="32"/>
        <v>300</v>
      </c>
      <c r="S33" s="4">
        <f t="shared" si="32"/>
        <v>300</v>
      </c>
      <c r="T33" s="4">
        <f t="shared" si="32"/>
        <v>300</v>
      </c>
    </row>
    <row r="34" spans="1:20" s="31" customFormat="1" x14ac:dyDescent="0.25">
      <c r="A34" s="3"/>
      <c r="B34" s="36" t="s">
        <v>21</v>
      </c>
      <c r="C34" s="37"/>
      <c r="D34" s="37"/>
      <c r="E34" s="37">
        <f>E32-E33</f>
        <v>3594</v>
      </c>
      <c r="F34" s="37">
        <f t="shared" ref="F34:T34" si="33">F32-F33</f>
        <v>16649</v>
      </c>
      <c r="G34" s="37">
        <f t="shared" si="33"/>
        <v>29558</v>
      </c>
      <c r="H34" s="37">
        <f t="shared" si="33"/>
        <v>37621</v>
      </c>
      <c r="I34" s="37">
        <f t="shared" si="33"/>
        <v>39825</v>
      </c>
      <c r="J34" s="37">
        <f t="shared" si="33"/>
        <v>48826.878000000012</v>
      </c>
      <c r="K34" s="37">
        <f t="shared" si="33"/>
        <v>59016.959509999993</v>
      </c>
      <c r="L34" s="37">
        <f t="shared" si="33"/>
        <v>68344.200971199985</v>
      </c>
      <c r="M34" s="37">
        <f t="shared" si="33"/>
        <v>74881.090945791992</v>
      </c>
      <c r="N34" s="37">
        <f t="shared" si="33"/>
        <v>81407.845637302598</v>
      </c>
      <c r="O34" s="37">
        <f t="shared" si="33"/>
        <v>85775.788624060064</v>
      </c>
      <c r="P34" s="37">
        <f t="shared" si="33"/>
        <v>89928.08685336489</v>
      </c>
      <c r="Q34" s="37">
        <f t="shared" si="33"/>
        <v>93996.944201315666</v>
      </c>
      <c r="R34" s="37">
        <f t="shared" si="33"/>
        <v>98063.061372765034</v>
      </c>
      <c r="S34" s="37">
        <f t="shared" si="33"/>
        <v>102176.27852119393</v>
      </c>
      <c r="T34" s="37">
        <f t="shared" si="33"/>
        <v>106367.96206117733</v>
      </c>
    </row>
    <row r="36" spans="1:20" x14ac:dyDescent="0.25">
      <c r="B36" s="10" t="s">
        <v>22</v>
      </c>
      <c r="E36" s="21">
        <v>1120</v>
      </c>
      <c r="F36" s="21">
        <v>4858</v>
      </c>
      <c r="G36" s="21">
        <v>8483</v>
      </c>
      <c r="H36" s="21">
        <v>10908</v>
      </c>
      <c r="I36" s="21">
        <v>11598</v>
      </c>
      <c r="J36" s="4">
        <f t="shared" ref="J36:T36" si="34">J34*J13</f>
        <v>13671.525840000004</v>
      </c>
      <c r="K36" s="4">
        <f t="shared" si="34"/>
        <v>16524.748662800001</v>
      </c>
      <c r="L36" s="4">
        <f t="shared" si="34"/>
        <v>19136.376271935998</v>
      </c>
      <c r="M36" s="4">
        <f t="shared" si="34"/>
        <v>20966.70546482176</v>
      </c>
      <c r="N36" s="4">
        <f t="shared" si="34"/>
        <v>22794.19677844473</v>
      </c>
      <c r="O36" s="4">
        <f t="shared" si="34"/>
        <v>24017.220814736822</v>
      </c>
      <c r="P36" s="4">
        <f t="shared" si="34"/>
        <v>25179.864318942171</v>
      </c>
      <c r="Q36" s="4">
        <f t="shared" si="34"/>
        <v>26319.144376368389</v>
      </c>
      <c r="R36" s="4">
        <f t="shared" si="34"/>
        <v>27457.657184374213</v>
      </c>
      <c r="S36" s="4">
        <f t="shared" si="34"/>
        <v>28609.357985934304</v>
      </c>
      <c r="T36" s="4">
        <f t="shared" si="34"/>
        <v>29783.029377129653</v>
      </c>
    </row>
    <row r="37" spans="1:20" s="31" customFormat="1" ht="15.75" thickBot="1" x14ac:dyDescent="0.3">
      <c r="A37" s="3"/>
      <c r="B37" s="39" t="s">
        <v>23</v>
      </c>
      <c r="C37" s="40"/>
      <c r="D37" s="40"/>
      <c r="E37" s="40">
        <f t="shared" ref="E37:T37" si="35">E34-E36</f>
        <v>2474</v>
      </c>
      <c r="F37" s="40">
        <f t="shared" si="35"/>
        <v>11791</v>
      </c>
      <c r="G37" s="40">
        <f t="shared" si="35"/>
        <v>21075</v>
      </c>
      <c r="H37" s="40">
        <f t="shared" si="35"/>
        <v>26713</v>
      </c>
      <c r="I37" s="40">
        <f t="shared" si="35"/>
        <v>28227</v>
      </c>
      <c r="J37" s="40">
        <f t="shared" si="35"/>
        <v>35155.352160000009</v>
      </c>
      <c r="K37" s="40">
        <f t="shared" si="35"/>
        <v>42492.210847199996</v>
      </c>
      <c r="L37" s="40">
        <f t="shared" si="35"/>
        <v>49207.824699263991</v>
      </c>
      <c r="M37" s="40">
        <f t="shared" si="35"/>
        <v>53914.385480970232</v>
      </c>
      <c r="N37" s="40">
        <f t="shared" si="35"/>
        <v>58613.648858857865</v>
      </c>
      <c r="O37" s="40">
        <f t="shared" si="35"/>
        <v>61758.567809323242</v>
      </c>
      <c r="P37" s="40">
        <f t="shared" si="35"/>
        <v>64748.222534422719</v>
      </c>
      <c r="Q37" s="40">
        <f t="shared" si="35"/>
        <v>67677.799824947273</v>
      </c>
      <c r="R37" s="40">
        <f t="shared" si="35"/>
        <v>70605.404188390821</v>
      </c>
      <c r="S37" s="40">
        <f t="shared" si="35"/>
        <v>73566.920535259633</v>
      </c>
      <c r="T37" s="40">
        <f t="shared" si="35"/>
        <v>76584.932684047672</v>
      </c>
    </row>
    <row r="38" spans="1:20" ht="15.75" thickTop="1" x14ac:dyDescent="0.25"/>
    <row r="40" spans="1:20" ht="15.75" x14ac:dyDescent="0.25">
      <c r="B40" s="12" t="s">
        <v>9</v>
      </c>
      <c r="C40" s="5"/>
      <c r="D40" s="5"/>
      <c r="E40" s="27">
        <f t="shared" ref="E40:T40" si="36">E23</f>
        <v>2014</v>
      </c>
      <c r="F40" s="27">
        <f t="shared" si="36"/>
        <v>2015</v>
      </c>
      <c r="G40" s="27">
        <f t="shared" si="36"/>
        <v>2016</v>
      </c>
      <c r="H40" s="27">
        <f t="shared" si="36"/>
        <v>2017</v>
      </c>
      <c r="I40" s="27">
        <f t="shared" si="36"/>
        <v>2018</v>
      </c>
      <c r="J40" s="16">
        <f t="shared" si="36"/>
        <v>2019</v>
      </c>
      <c r="K40" s="16">
        <f t="shared" si="36"/>
        <v>2020</v>
      </c>
      <c r="L40" s="16">
        <f t="shared" si="36"/>
        <v>2021</v>
      </c>
      <c r="M40" s="16">
        <f t="shared" si="36"/>
        <v>2022</v>
      </c>
      <c r="N40" s="16">
        <f t="shared" si="36"/>
        <v>2023</v>
      </c>
      <c r="O40" s="16">
        <f t="shared" si="36"/>
        <v>2024</v>
      </c>
      <c r="P40" s="16">
        <f t="shared" si="36"/>
        <v>2025</v>
      </c>
      <c r="Q40" s="16">
        <f t="shared" si="36"/>
        <v>2026</v>
      </c>
      <c r="R40" s="16">
        <f t="shared" si="36"/>
        <v>2027</v>
      </c>
      <c r="S40" s="16">
        <f t="shared" si="36"/>
        <v>2028</v>
      </c>
      <c r="T40" s="16">
        <f t="shared" si="36"/>
        <v>2029</v>
      </c>
    </row>
    <row r="41" spans="1:20" x14ac:dyDescent="0.25">
      <c r="B41" s="11" t="s">
        <v>24</v>
      </c>
    </row>
    <row r="42" spans="1:20" x14ac:dyDescent="0.25">
      <c r="B42" s="10" t="s">
        <v>25</v>
      </c>
      <c r="E42" s="21">
        <v>167971</v>
      </c>
      <c r="F42" s="21">
        <v>181210</v>
      </c>
      <c r="G42" s="21">
        <v>183715</v>
      </c>
      <c r="H42" s="21">
        <v>211069</v>
      </c>
      <c r="I42" s="21">
        <v>239550</v>
      </c>
      <c r="J42" s="4">
        <f>J79</f>
        <v>288585.94149698631</v>
      </c>
      <c r="K42" s="4">
        <f t="shared" ref="K42:N42" si="37">K79</f>
        <v>339061.28286435071</v>
      </c>
      <c r="L42" s="4">
        <f t="shared" si="37"/>
        <v>373078.29196181527</v>
      </c>
      <c r="M42" s="4">
        <f t="shared" si="37"/>
        <v>279665.84079112276</v>
      </c>
      <c r="N42" s="4">
        <f t="shared" si="37"/>
        <v>339985.58416639437</v>
      </c>
      <c r="O42" s="4">
        <f t="shared" ref="O42:T42" si="38">O79</f>
        <v>402453.81826577825</v>
      </c>
      <c r="P42" s="4">
        <f t="shared" si="38"/>
        <v>467412.97250838042</v>
      </c>
      <c r="Q42" s="4">
        <f t="shared" si="38"/>
        <v>534996.01725040271</v>
      </c>
      <c r="R42" s="4">
        <f t="shared" si="38"/>
        <v>605316.61485797085</v>
      </c>
      <c r="S42" s="4">
        <f t="shared" si="38"/>
        <v>678477.85930773721</v>
      </c>
      <c r="T42" s="4">
        <f t="shared" si="38"/>
        <v>754577.55043937929</v>
      </c>
    </row>
    <row r="43" spans="1:20" x14ac:dyDescent="0.25">
      <c r="B43" s="10" t="s">
        <v>26</v>
      </c>
      <c r="E43" s="21">
        <v>5100</v>
      </c>
      <c r="F43" s="21">
        <v>5904</v>
      </c>
      <c r="G43" s="21">
        <v>6567</v>
      </c>
      <c r="H43" s="21">
        <v>7117</v>
      </c>
      <c r="I43" s="21">
        <v>7539</v>
      </c>
      <c r="J43" s="4">
        <f t="shared" ref="J43:T43" si="39">J24*J15/365</f>
        <v>7807.0980821917819</v>
      </c>
      <c r="K43" s="4">
        <f t="shared" si="39"/>
        <v>8158.4174958904105</v>
      </c>
      <c r="L43" s="4">
        <f t="shared" si="39"/>
        <v>8484.7541957260273</v>
      </c>
      <c r="M43" s="4">
        <f t="shared" si="39"/>
        <v>8781.7205925764374</v>
      </c>
      <c r="N43" s="4">
        <f t="shared" si="39"/>
        <v>9045.1722103537304</v>
      </c>
      <c r="O43" s="4">
        <f t="shared" si="39"/>
        <v>9316.5273766643422</v>
      </c>
      <c r="P43" s="4">
        <f t="shared" si="39"/>
        <v>9596.0231979642722</v>
      </c>
      <c r="Q43" s="4">
        <f t="shared" si="39"/>
        <v>9883.9038939031998</v>
      </c>
      <c r="R43" s="4">
        <f t="shared" si="39"/>
        <v>10180.421010720296</v>
      </c>
      <c r="S43" s="4">
        <f t="shared" si="39"/>
        <v>10485.833641041905</v>
      </c>
      <c r="T43" s="4">
        <f t="shared" si="39"/>
        <v>10800.408650273164</v>
      </c>
    </row>
    <row r="44" spans="1:20" x14ac:dyDescent="0.25">
      <c r="B44" s="10" t="s">
        <v>27</v>
      </c>
      <c r="E44" s="21">
        <v>7805</v>
      </c>
      <c r="F44" s="21">
        <v>9601</v>
      </c>
      <c r="G44" s="21">
        <v>9825</v>
      </c>
      <c r="H44" s="21">
        <v>10531</v>
      </c>
      <c r="I44" s="21">
        <v>11342</v>
      </c>
      <c r="J44" s="4">
        <f t="shared" ref="J44:T44" si="40">J25*J16/365</f>
        <v>11714.984399999999</v>
      </c>
      <c r="K44" s="4">
        <f t="shared" si="40"/>
        <v>12242.158697999999</v>
      </c>
      <c r="L44" s="4">
        <f t="shared" si="40"/>
        <v>12387.741125759998</v>
      </c>
      <c r="M44" s="4">
        <f t="shared" si="40"/>
        <v>12821.312065161599</v>
      </c>
      <c r="N44" s="4">
        <f t="shared" si="40"/>
        <v>12839.119443029876</v>
      </c>
      <c r="O44" s="4">
        <f t="shared" si="40"/>
        <v>13224.293026320775</v>
      </c>
      <c r="P44" s="4">
        <f t="shared" si="40"/>
        <v>13621.021817110397</v>
      </c>
      <c r="Q44" s="4">
        <f t="shared" si="40"/>
        <v>14029.652471623707</v>
      </c>
      <c r="R44" s="4">
        <f t="shared" si="40"/>
        <v>14450.542045772419</v>
      </c>
      <c r="S44" s="4">
        <f t="shared" si="40"/>
        <v>14884.058307145595</v>
      </c>
      <c r="T44" s="4">
        <f t="shared" si="40"/>
        <v>15330.580056359964</v>
      </c>
    </row>
    <row r="45" spans="1:20" x14ac:dyDescent="0.25">
      <c r="B45" s="10" t="s">
        <v>28</v>
      </c>
      <c r="E45" s="21">
        <v>45500</v>
      </c>
      <c r="F45" s="21">
        <v>42350</v>
      </c>
      <c r="G45" s="21">
        <v>40145</v>
      </c>
      <c r="H45" s="21">
        <v>38602</v>
      </c>
      <c r="I45" s="21">
        <v>37521</v>
      </c>
      <c r="J45" s="4">
        <f>J96</f>
        <v>23267.059999999998</v>
      </c>
      <c r="K45" s="4">
        <f t="shared" ref="K45:N45" si="41">K96</f>
        <v>14672.633699999997</v>
      </c>
      <c r="L45" s="4">
        <f t="shared" si="41"/>
        <v>9465.318527999998</v>
      </c>
      <c r="M45" s="4">
        <f t="shared" si="41"/>
        <v>6281.3729770799982</v>
      </c>
      <c r="N45" s="4">
        <f t="shared" si="41"/>
        <v>4303.0451222963984</v>
      </c>
      <c r="O45" s="4">
        <f t="shared" ref="O45:T45" si="42">O96</f>
        <v>3132.07504950769</v>
      </c>
      <c r="P45" s="4">
        <f t="shared" si="42"/>
        <v>2446.0004451183609</v>
      </c>
      <c r="Q45" s="4">
        <f t="shared" si="42"/>
        <v>2051.3583449471757</v>
      </c>
      <c r="R45" s="4">
        <f t="shared" si="42"/>
        <v>1832.0858271807513</v>
      </c>
      <c r="S45" s="4">
        <f t="shared" si="42"/>
        <v>1718.5604411272707</v>
      </c>
      <c r="T45" s="4">
        <f t="shared" si="42"/>
        <v>1669.0244778397469</v>
      </c>
    </row>
    <row r="46" spans="1:20" ht="15.75" thickBot="1" x14ac:dyDescent="0.3">
      <c r="B46" s="15" t="s">
        <v>29</v>
      </c>
      <c r="C46" s="17"/>
      <c r="D46" s="17"/>
      <c r="E46" s="8">
        <f>SUM(E42:E45)</f>
        <v>226376</v>
      </c>
      <c r="F46" s="8">
        <f t="shared" ref="F46:T46" si="43">SUM(F42:F45)</f>
        <v>239065</v>
      </c>
      <c r="G46" s="8">
        <f t="shared" si="43"/>
        <v>240252</v>
      </c>
      <c r="H46" s="8">
        <f t="shared" si="43"/>
        <v>267319</v>
      </c>
      <c r="I46" s="8">
        <f t="shared" si="43"/>
        <v>295952</v>
      </c>
      <c r="J46" s="8">
        <f t="shared" si="43"/>
        <v>331375.0839791781</v>
      </c>
      <c r="K46" s="8">
        <f t="shared" si="43"/>
        <v>374134.49275824113</v>
      </c>
      <c r="L46" s="8">
        <f t="shared" si="43"/>
        <v>403416.10581130127</v>
      </c>
      <c r="M46" s="8">
        <f t="shared" si="43"/>
        <v>307550.24642594077</v>
      </c>
      <c r="N46" s="8">
        <f t="shared" si="43"/>
        <v>366172.92094207433</v>
      </c>
      <c r="O46" s="8">
        <f t="shared" si="43"/>
        <v>428126.713718271</v>
      </c>
      <c r="P46" s="8">
        <f t="shared" si="43"/>
        <v>493076.01796857349</v>
      </c>
      <c r="Q46" s="8">
        <f t="shared" si="43"/>
        <v>560960.93196087691</v>
      </c>
      <c r="R46" s="8">
        <f t="shared" si="43"/>
        <v>631779.66374164436</v>
      </c>
      <c r="S46" s="8">
        <f t="shared" si="43"/>
        <v>705566.31169705198</v>
      </c>
      <c r="T46" s="8">
        <f t="shared" si="43"/>
        <v>782377.5636238521</v>
      </c>
    </row>
    <row r="47" spans="1:20" ht="15.75" thickTop="1" x14ac:dyDescent="0.25"/>
    <row r="48" spans="1:20" x14ac:dyDescent="0.25">
      <c r="B48" s="11" t="s">
        <v>30</v>
      </c>
    </row>
    <row r="49" spans="2:20" x14ac:dyDescent="0.25">
      <c r="B49" s="10" t="s">
        <v>31</v>
      </c>
      <c r="E49" s="21">
        <v>3902</v>
      </c>
      <c r="F49" s="21">
        <v>4800</v>
      </c>
      <c r="G49" s="21">
        <v>4912</v>
      </c>
      <c r="H49" s="21">
        <v>5265</v>
      </c>
      <c r="I49" s="21">
        <v>5671</v>
      </c>
      <c r="J49" s="4">
        <f t="shared" ref="J49:T49" si="44">J25*J17/365</f>
        <v>5937.7318191780823</v>
      </c>
      <c r="K49" s="4">
        <f t="shared" si="44"/>
        <v>6204.9297510410952</v>
      </c>
      <c r="L49" s="4">
        <f t="shared" si="44"/>
        <v>6278.7181048372595</v>
      </c>
      <c r="M49" s="4">
        <f t="shared" si="44"/>
        <v>6498.4732385065636</v>
      </c>
      <c r="N49" s="4">
        <f t="shared" si="44"/>
        <v>6507.498895782267</v>
      </c>
      <c r="O49" s="4">
        <f t="shared" si="44"/>
        <v>6702.7238626557337</v>
      </c>
      <c r="P49" s="4">
        <f t="shared" si="44"/>
        <v>6903.8055785354072</v>
      </c>
      <c r="Q49" s="4">
        <f t="shared" si="44"/>
        <v>7110.9197458914668</v>
      </c>
      <c r="R49" s="4">
        <f t="shared" si="44"/>
        <v>7324.2473382682119</v>
      </c>
      <c r="S49" s="4">
        <f t="shared" si="44"/>
        <v>7543.9747584162596</v>
      </c>
      <c r="T49" s="4">
        <f t="shared" si="44"/>
        <v>7770.2940011687479</v>
      </c>
    </row>
    <row r="50" spans="2:20" x14ac:dyDescent="0.25">
      <c r="B50" s="10" t="s">
        <v>32</v>
      </c>
      <c r="E50" s="21">
        <v>50000</v>
      </c>
      <c r="F50" s="21">
        <v>50000</v>
      </c>
      <c r="G50" s="21">
        <v>30000</v>
      </c>
      <c r="H50" s="21">
        <v>30000</v>
      </c>
      <c r="I50" s="21">
        <v>30000</v>
      </c>
      <c r="J50" s="4">
        <f>J101</f>
        <v>30000</v>
      </c>
      <c r="K50" s="4">
        <f t="shared" ref="K50:N50" si="45">K101</f>
        <v>30000</v>
      </c>
      <c r="L50" s="4">
        <f t="shared" si="45"/>
        <v>10000</v>
      </c>
      <c r="M50" s="4">
        <f t="shared" si="45"/>
        <v>10000</v>
      </c>
      <c r="N50" s="4">
        <f t="shared" si="45"/>
        <v>10000</v>
      </c>
      <c r="O50" s="4">
        <f t="shared" ref="O50:T50" si="46">O101</f>
        <v>10000</v>
      </c>
      <c r="P50" s="4">
        <f t="shared" si="46"/>
        <v>10000</v>
      </c>
      <c r="Q50" s="4">
        <f t="shared" si="46"/>
        <v>10000</v>
      </c>
      <c r="R50" s="4">
        <f t="shared" si="46"/>
        <v>10000</v>
      </c>
      <c r="S50" s="4">
        <f t="shared" si="46"/>
        <v>10000</v>
      </c>
      <c r="T50" s="4">
        <f t="shared" si="46"/>
        <v>10000</v>
      </c>
    </row>
    <row r="51" spans="2:20" x14ac:dyDescent="0.25">
      <c r="B51" s="13" t="s">
        <v>33</v>
      </c>
      <c r="C51" s="18"/>
      <c r="D51" s="18"/>
      <c r="E51" s="6">
        <f>SUM(E49:E50)</f>
        <v>53902</v>
      </c>
      <c r="F51" s="6">
        <f t="shared" ref="F51:T51" si="47">SUM(F49:F50)</f>
        <v>54800</v>
      </c>
      <c r="G51" s="6">
        <f t="shared" si="47"/>
        <v>34912</v>
      </c>
      <c r="H51" s="6">
        <f t="shared" si="47"/>
        <v>35265</v>
      </c>
      <c r="I51" s="6">
        <f t="shared" si="47"/>
        <v>35671</v>
      </c>
      <c r="J51" s="6">
        <f t="shared" si="47"/>
        <v>35937.73181917808</v>
      </c>
      <c r="K51" s="6">
        <f t="shared" si="47"/>
        <v>36204.929751041098</v>
      </c>
      <c r="L51" s="6">
        <f t="shared" si="47"/>
        <v>16278.718104837259</v>
      </c>
      <c r="M51" s="6">
        <f t="shared" si="47"/>
        <v>16498.473238506565</v>
      </c>
      <c r="N51" s="6">
        <f t="shared" si="47"/>
        <v>16507.498895782268</v>
      </c>
      <c r="O51" s="6">
        <f t="shared" si="47"/>
        <v>16702.723862655734</v>
      </c>
      <c r="P51" s="6">
        <f t="shared" si="47"/>
        <v>16903.805578535408</v>
      </c>
      <c r="Q51" s="6">
        <f t="shared" si="47"/>
        <v>17110.919745891468</v>
      </c>
      <c r="R51" s="6">
        <f t="shared" si="47"/>
        <v>17324.247338268211</v>
      </c>
      <c r="S51" s="6">
        <f t="shared" si="47"/>
        <v>17543.974758416261</v>
      </c>
      <c r="T51" s="6">
        <f t="shared" si="47"/>
        <v>17770.294001168746</v>
      </c>
    </row>
    <row r="52" spans="2:20" x14ac:dyDescent="0.25">
      <c r="B52" s="11" t="s">
        <v>34</v>
      </c>
    </row>
    <row r="53" spans="2:20" x14ac:dyDescent="0.25">
      <c r="B53" s="10" t="s">
        <v>35</v>
      </c>
      <c r="E53" s="21">
        <v>170000</v>
      </c>
      <c r="F53" s="21">
        <v>170000</v>
      </c>
      <c r="G53" s="21">
        <v>170000</v>
      </c>
      <c r="H53" s="21">
        <v>170000</v>
      </c>
      <c r="I53" s="21">
        <v>170000</v>
      </c>
      <c r="J53" s="4">
        <f t="shared" ref="J53:T53" si="48">I53+J20</f>
        <v>170000</v>
      </c>
      <c r="K53" s="4">
        <f t="shared" si="48"/>
        <v>170000</v>
      </c>
      <c r="L53" s="4">
        <f t="shared" si="48"/>
        <v>170000</v>
      </c>
      <c r="M53" s="4">
        <f t="shared" si="48"/>
        <v>20000</v>
      </c>
      <c r="N53" s="4">
        <f t="shared" si="48"/>
        <v>20000</v>
      </c>
      <c r="O53" s="4">
        <f t="shared" si="48"/>
        <v>20000</v>
      </c>
      <c r="P53" s="4">
        <f t="shared" si="48"/>
        <v>20000</v>
      </c>
      <c r="Q53" s="4">
        <f t="shared" si="48"/>
        <v>20000</v>
      </c>
      <c r="R53" s="4">
        <f t="shared" si="48"/>
        <v>20000</v>
      </c>
      <c r="S53" s="4">
        <f t="shared" si="48"/>
        <v>20000</v>
      </c>
      <c r="T53" s="4">
        <f t="shared" si="48"/>
        <v>20000</v>
      </c>
    </row>
    <row r="54" spans="2:20" x14ac:dyDescent="0.25">
      <c r="B54" s="10" t="s">
        <v>36</v>
      </c>
      <c r="E54" s="21">
        <v>2474</v>
      </c>
      <c r="F54" s="21">
        <v>14265</v>
      </c>
      <c r="G54" s="21">
        <v>35340</v>
      </c>
      <c r="H54" s="21">
        <v>62053</v>
      </c>
      <c r="I54" s="21">
        <v>90280</v>
      </c>
      <c r="J54" s="4">
        <f>I54+J37</f>
        <v>125435.35216000001</v>
      </c>
      <c r="K54" s="4">
        <f t="shared" ref="K54:N54" si="49">J54+K37</f>
        <v>167927.56300720002</v>
      </c>
      <c r="L54" s="4">
        <f t="shared" si="49"/>
        <v>217135.38770646401</v>
      </c>
      <c r="M54" s="4">
        <f t="shared" si="49"/>
        <v>271049.77318743424</v>
      </c>
      <c r="N54" s="4">
        <f t="shared" si="49"/>
        <v>329663.42204629211</v>
      </c>
      <c r="O54" s="4">
        <f t="shared" ref="O54:T54" si="50">N54+O37</f>
        <v>391421.98985561536</v>
      </c>
      <c r="P54" s="4">
        <f t="shared" si="50"/>
        <v>456170.21239003807</v>
      </c>
      <c r="Q54" s="4">
        <f t="shared" si="50"/>
        <v>523848.01221498533</v>
      </c>
      <c r="R54" s="4">
        <f t="shared" si="50"/>
        <v>594453.41640337615</v>
      </c>
      <c r="S54" s="4">
        <f t="shared" si="50"/>
        <v>668020.3369386358</v>
      </c>
      <c r="T54" s="4">
        <f t="shared" si="50"/>
        <v>744605.26962268353</v>
      </c>
    </row>
    <row r="55" spans="2:20" x14ac:dyDescent="0.25">
      <c r="B55" s="14" t="s">
        <v>37</v>
      </c>
      <c r="C55" s="19"/>
      <c r="D55" s="19"/>
      <c r="E55" s="7">
        <f>SUM(E53:E54)</f>
        <v>172474</v>
      </c>
      <c r="F55" s="7">
        <f>SUM(F53:F54)</f>
        <v>184265</v>
      </c>
      <c r="G55" s="7">
        <f t="shared" ref="G55:T55" si="51">SUM(G53:G54)</f>
        <v>205340</v>
      </c>
      <c r="H55" s="7">
        <f t="shared" si="51"/>
        <v>232053</v>
      </c>
      <c r="I55" s="7">
        <f t="shared" si="51"/>
        <v>260280</v>
      </c>
      <c r="J55" s="7">
        <f t="shared" si="51"/>
        <v>295435.35216000001</v>
      </c>
      <c r="K55" s="7">
        <f t="shared" si="51"/>
        <v>337927.56300720002</v>
      </c>
      <c r="L55" s="7">
        <f t="shared" si="51"/>
        <v>387135.38770646404</v>
      </c>
      <c r="M55" s="7">
        <f t="shared" si="51"/>
        <v>291049.77318743424</v>
      </c>
      <c r="N55" s="7">
        <f t="shared" si="51"/>
        <v>349663.42204629211</v>
      </c>
      <c r="O55" s="7">
        <f t="shared" si="51"/>
        <v>411421.98985561536</v>
      </c>
      <c r="P55" s="7">
        <f t="shared" si="51"/>
        <v>476170.21239003807</v>
      </c>
      <c r="Q55" s="7">
        <f t="shared" si="51"/>
        <v>543848.01221498533</v>
      </c>
      <c r="R55" s="7">
        <f t="shared" si="51"/>
        <v>614453.41640337615</v>
      </c>
      <c r="S55" s="7">
        <f t="shared" si="51"/>
        <v>688020.3369386358</v>
      </c>
      <c r="T55" s="7">
        <f t="shared" si="51"/>
        <v>764605.26962268353</v>
      </c>
    </row>
    <row r="56" spans="2:20" ht="15.75" thickBot="1" x14ac:dyDescent="0.3">
      <c r="B56" s="15" t="s">
        <v>38</v>
      </c>
      <c r="C56" s="17"/>
      <c r="D56" s="17"/>
      <c r="E56" s="8">
        <f>E51+E55</f>
        <v>226376</v>
      </c>
      <c r="F56" s="8">
        <f>F51+F55</f>
        <v>239065</v>
      </c>
      <c r="G56" s="8">
        <f t="shared" ref="G56:T56" si="52">G51+G55</f>
        <v>240252</v>
      </c>
      <c r="H56" s="8">
        <f t="shared" si="52"/>
        <v>267318</v>
      </c>
      <c r="I56" s="8">
        <f t="shared" si="52"/>
        <v>295951</v>
      </c>
      <c r="J56" s="8">
        <f t="shared" si="52"/>
        <v>331373.0839791781</v>
      </c>
      <c r="K56" s="8">
        <f t="shared" si="52"/>
        <v>374132.49275824113</v>
      </c>
      <c r="L56" s="8">
        <f t="shared" si="52"/>
        <v>403414.10581130127</v>
      </c>
      <c r="M56" s="8">
        <f t="shared" si="52"/>
        <v>307548.24642594083</v>
      </c>
      <c r="N56" s="8">
        <f t="shared" si="52"/>
        <v>366170.92094207439</v>
      </c>
      <c r="O56" s="8">
        <f t="shared" si="52"/>
        <v>428124.71371827112</v>
      </c>
      <c r="P56" s="8">
        <f t="shared" si="52"/>
        <v>493074.01796857349</v>
      </c>
      <c r="Q56" s="8">
        <f t="shared" si="52"/>
        <v>560958.9319608768</v>
      </c>
      <c r="R56" s="8">
        <f t="shared" si="52"/>
        <v>631777.66374164436</v>
      </c>
      <c r="S56" s="8">
        <f t="shared" si="52"/>
        <v>705564.31169705209</v>
      </c>
      <c r="T56" s="8">
        <f t="shared" si="52"/>
        <v>782375.56362385233</v>
      </c>
    </row>
    <row r="57" spans="2:20" ht="15.75" thickTop="1" x14ac:dyDescent="0.25"/>
    <row r="58" spans="2:20" x14ac:dyDescent="0.25">
      <c r="B58" s="10" t="s">
        <v>39</v>
      </c>
      <c r="E58" s="20">
        <f>E56-E46</f>
        <v>0</v>
      </c>
      <c r="F58" s="20">
        <f t="shared" ref="F58:T58" si="53">F56-F46</f>
        <v>0</v>
      </c>
      <c r="G58" s="20">
        <f t="shared" si="53"/>
        <v>0</v>
      </c>
      <c r="H58" s="20">
        <f t="shared" si="53"/>
        <v>-1</v>
      </c>
      <c r="I58" s="20">
        <f t="shared" si="53"/>
        <v>-1</v>
      </c>
      <c r="J58" s="20">
        <f t="shared" si="53"/>
        <v>-2</v>
      </c>
      <c r="K58" s="20">
        <f t="shared" si="53"/>
        <v>-2</v>
      </c>
      <c r="L58" s="20">
        <f t="shared" si="53"/>
        <v>-2</v>
      </c>
      <c r="M58" s="20">
        <f t="shared" si="53"/>
        <v>-1.9999999999417923</v>
      </c>
      <c r="N58" s="20">
        <f t="shared" si="53"/>
        <v>-1.9999999999417923</v>
      </c>
      <c r="O58" s="20">
        <f t="shared" si="53"/>
        <v>-1.9999999998835847</v>
      </c>
      <c r="P58" s="20">
        <f t="shared" si="53"/>
        <v>-2</v>
      </c>
      <c r="Q58" s="20">
        <f t="shared" si="53"/>
        <v>-2.0000000001164153</v>
      </c>
      <c r="R58" s="20">
        <f t="shared" si="53"/>
        <v>-2</v>
      </c>
      <c r="S58" s="20">
        <f t="shared" si="53"/>
        <v>-1.9999999998835847</v>
      </c>
      <c r="T58" s="20">
        <f t="shared" si="53"/>
        <v>-1.9999999997671694</v>
      </c>
    </row>
    <row r="61" spans="2:20" ht="15.75" x14ac:dyDescent="0.25">
      <c r="B61" s="12" t="s">
        <v>40</v>
      </c>
      <c r="C61" s="16"/>
      <c r="D61" s="16"/>
      <c r="E61" s="27">
        <f t="shared" ref="E61:T61" si="54">E40</f>
        <v>2014</v>
      </c>
      <c r="F61" s="27">
        <f t="shared" si="54"/>
        <v>2015</v>
      </c>
      <c r="G61" s="27">
        <f t="shared" si="54"/>
        <v>2016</v>
      </c>
      <c r="H61" s="27">
        <f t="shared" si="54"/>
        <v>2017</v>
      </c>
      <c r="I61" s="27">
        <f t="shared" si="54"/>
        <v>2018</v>
      </c>
      <c r="J61" s="16">
        <f t="shared" si="54"/>
        <v>2019</v>
      </c>
      <c r="K61" s="16">
        <f t="shared" si="54"/>
        <v>2020</v>
      </c>
      <c r="L61" s="16">
        <f t="shared" si="54"/>
        <v>2021</v>
      </c>
      <c r="M61" s="16">
        <f t="shared" si="54"/>
        <v>2022</v>
      </c>
      <c r="N61" s="16">
        <f t="shared" si="54"/>
        <v>2023</v>
      </c>
      <c r="O61" s="16">
        <f t="shared" si="54"/>
        <v>2024</v>
      </c>
      <c r="P61" s="16">
        <f t="shared" si="54"/>
        <v>2025</v>
      </c>
      <c r="Q61" s="16">
        <f t="shared" si="54"/>
        <v>2026</v>
      </c>
      <c r="R61" s="16">
        <f t="shared" si="54"/>
        <v>2027</v>
      </c>
      <c r="S61" s="16">
        <f t="shared" si="54"/>
        <v>2028</v>
      </c>
      <c r="T61" s="16">
        <f t="shared" si="54"/>
        <v>2029</v>
      </c>
    </row>
    <row r="62" spans="2:20" x14ac:dyDescent="0.25">
      <c r="B62" s="11" t="s">
        <v>41</v>
      </c>
    </row>
    <row r="63" spans="2:20" x14ac:dyDescent="0.25">
      <c r="B63" s="10" t="s">
        <v>23</v>
      </c>
      <c r="E63" s="4">
        <f>E37</f>
        <v>2474</v>
      </c>
      <c r="F63" s="4">
        <f t="shared" ref="F63:T63" si="55">F37</f>
        <v>11791</v>
      </c>
      <c r="G63" s="4">
        <f t="shared" si="55"/>
        <v>21075</v>
      </c>
      <c r="H63" s="4">
        <f t="shared" si="55"/>
        <v>26713</v>
      </c>
      <c r="I63" s="4">
        <f t="shared" si="55"/>
        <v>28227</v>
      </c>
      <c r="J63" s="4">
        <f t="shared" si="55"/>
        <v>35155.352160000009</v>
      </c>
      <c r="K63" s="4">
        <f t="shared" si="55"/>
        <v>42492.210847199996</v>
      </c>
      <c r="L63" s="4">
        <f t="shared" si="55"/>
        <v>49207.824699263991</v>
      </c>
      <c r="M63" s="4">
        <f t="shared" si="55"/>
        <v>53914.385480970232</v>
      </c>
      <c r="N63" s="4">
        <f t="shared" si="55"/>
        <v>58613.648858857865</v>
      </c>
      <c r="O63" s="4">
        <f t="shared" si="55"/>
        <v>61758.567809323242</v>
      </c>
      <c r="P63" s="4">
        <f t="shared" si="55"/>
        <v>64748.222534422719</v>
      </c>
      <c r="Q63" s="4">
        <f t="shared" si="55"/>
        <v>67677.799824947273</v>
      </c>
      <c r="R63" s="4">
        <f t="shared" si="55"/>
        <v>70605.404188390821</v>
      </c>
      <c r="S63" s="4">
        <f t="shared" si="55"/>
        <v>73566.920535259633</v>
      </c>
      <c r="T63" s="4">
        <f t="shared" si="55"/>
        <v>76584.932684047672</v>
      </c>
    </row>
    <row r="64" spans="2:20" x14ac:dyDescent="0.25">
      <c r="B64" s="10" t="s">
        <v>42</v>
      </c>
      <c r="E64" s="4">
        <f t="shared" ref="E64:T64" si="56">E30</f>
        <v>19500</v>
      </c>
      <c r="F64" s="4">
        <f t="shared" si="56"/>
        <v>18150</v>
      </c>
      <c r="G64" s="4">
        <f t="shared" si="56"/>
        <v>17205</v>
      </c>
      <c r="H64" s="4">
        <f t="shared" si="56"/>
        <v>16544</v>
      </c>
      <c r="I64" s="4">
        <f t="shared" si="56"/>
        <v>16080</v>
      </c>
      <c r="J64" s="4">
        <f t="shared" si="56"/>
        <v>15008.800000000001</v>
      </c>
      <c r="K64" s="4">
        <f t="shared" si="56"/>
        <v>9306.8239999999987</v>
      </c>
      <c r="L64" s="4">
        <f t="shared" si="56"/>
        <v>5869.0534799999987</v>
      </c>
      <c r="M64" s="4">
        <f t="shared" si="56"/>
        <v>3786.1274111999992</v>
      </c>
      <c r="N64" s="4">
        <f t="shared" si="56"/>
        <v>2512.5491908319996</v>
      </c>
      <c r="O64" s="4">
        <f t="shared" si="56"/>
        <v>1721.2180489185594</v>
      </c>
      <c r="P64" s="4">
        <f t="shared" si="56"/>
        <v>1252.8300198030761</v>
      </c>
      <c r="Q64" s="4">
        <f t="shared" si="56"/>
        <v>978.40017804734441</v>
      </c>
      <c r="R64" s="4">
        <f t="shared" si="56"/>
        <v>820.54333797887034</v>
      </c>
      <c r="S64" s="4">
        <f t="shared" si="56"/>
        <v>732.8343308723006</v>
      </c>
      <c r="T64" s="4">
        <f t="shared" si="56"/>
        <v>687.42417645090836</v>
      </c>
    </row>
    <row r="65" spans="1:20" x14ac:dyDescent="0.25">
      <c r="B65" s="10" t="s">
        <v>43</v>
      </c>
      <c r="E65" s="21">
        <v>9003</v>
      </c>
      <c r="F65" s="21">
        <v>1702</v>
      </c>
      <c r="G65" s="21">
        <v>775</v>
      </c>
      <c r="H65" s="21">
        <v>903</v>
      </c>
      <c r="I65" s="21">
        <v>826</v>
      </c>
      <c r="J65" s="4">
        <f>J90</f>
        <v>374.35066301369807</v>
      </c>
      <c r="K65" s="4">
        <f t="shared" ref="K65:T65" si="57">K90</f>
        <v>611.2957798356183</v>
      </c>
      <c r="L65" s="4">
        <f t="shared" si="57"/>
        <v>398.13077379945025</v>
      </c>
      <c r="M65" s="4">
        <f t="shared" si="57"/>
        <v>510.7822025827063</v>
      </c>
      <c r="N65" s="4">
        <f t="shared" si="57"/>
        <v>272.23333836986603</v>
      </c>
      <c r="O65" s="4">
        <f t="shared" si="57"/>
        <v>461.30378272804592</v>
      </c>
      <c r="P65" s="4">
        <f t="shared" si="57"/>
        <v>475.1428962098762</v>
      </c>
      <c r="Q65" s="4">
        <f t="shared" si="57"/>
        <v>489.3971830961782</v>
      </c>
      <c r="R65" s="4">
        <f t="shared" si="57"/>
        <v>504.07909858906351</v>
      </c>
      <c r="S65" s="4">
        <f t="shared" si="57"/>
        <v>519.20147154673396</v>
      </c>
      <c r="T65" s="4">
        <f t="shared" si="57"/>
        <v>534.77751569314569</v>
      </c>
    </row>
    <row r="66" spans="1:20" s="31" customFormat="1" x14ac:dyDescent="0.25">
      <c r="A66" s="3"/>
      <c r="B66" s="13" t="s">
        <v>44</v>
      </c>
      <c r="C66" s="6"/>
      <c r="D66" s="6"/>
      <c r="E66" s="6">
        <f>E63+E64-E65</f>
        <v>12971</v>
      </c>
      <c r="F66" s="6">
        <f t="shared" ref="F66:T66" si="58">F63+F64-F65</f>
        <v>28239</v>
      </c>
      <c r="G66" s="6">
        <f t="shared" si="58"/>
        <v>37505</v>
      </c>
      <c r="H66" s="6">
        <f t="shared" si="58"/>
        <v>42354</v>
      </c>
      <c r="I66" s="6">
        <f t="shared" si="58"/>
        <v>43481</v>
      </c>
      <c r="J66" s="6">
        <f t="shared" si="58"/>
        <v>49789.801496986314</v>
      </c>
      <c r="K66" s="6">
        <f t="shared" si="58"/>
        <v>51187.739067364382</v>
      </c>
      <c r="L66" s="6">
        <f t="shared" si="58"/>
        <v>54678.747405464543</v>
      </c>
      <c r="M66" s="6">
        <f t="shared" si="58"/>
        <v>57189.730689587523</v>
      </c>
      <c r="N66" s="6">
        <f t="shared" si="58"/>
        <v>60853.964711319997</v>
      </c>
      <c r="O66" s="6">
        <f t="shared" si="58"/>
        <v>63018.482075513748</v>
      </c>
      <c r="P66" s="6">
        <f t="shared" si="58"/>
        <v>65525.909658015924</v>
      </c>
      <c r="Q66" s="6">
        <f t="shared" si="58"/>
        <v>68166.802819898439</v>
      </c>
      <c r="R66" s="6">
        <f t="shared" si="58"/>
        <v>70921.868427780631</v>
      </c>
      <c r="S66" s="6">
        <f t="shared" si="58"/>
        <v>73780.553394585193</v>
      </c>
      <c r="T66" s="6">
        <f t="shared" si="58"/>
        <v>76737.579344805432</v>
      </c>
    </row>
    <row r="68" spans="1:20" x14ac:dyDescent="0.25">
      <c r="B68" s="11" t="s">
        <v>45</v>
      </c>
    </row>
    <row r="69" spans="1:20" x14ac:dyDescent="0.25">
      <c r="B69" s="10" t="s">
        <v>13</v>
      </c>
      <c r="E69" s="21">
        <v>15000</v>
      </c>
      <c r="F69" s="21">
        <v>15000</v>
      </c>
      <c r="G69" s="21">
        <v>15000</v>
      </c>
      <c r="H69" s="21">
        <v>15000</v>
      </c>
      <c r="I69" s="21">
        <v>15000</v>
      </c>
      <c r="J69" s="4">
        <f>J18</f>
        <v>753.86000000000058</v>
      </c>
      <c r="K69" s="4">
        <f t="shared" ref="K69:T69" si="59">K18</f>
        <v>712.39769999999851</v>
      </c>
      <c r="L69" s="4">
        <f t="shared" si="59"/>
        <v>661.73830799999996</v>
      </c>
      <c r="M69" s="4">
        <f t="shared" si="59"/>
        <v>602.18186027999911</v>
      </c>
      <c r="N69" s="4">
        <f t="shared" si="59"/>
        <v>534.22133604839917</v>
      </c>
      <c r="O69" s="4">
        <f t="shared" si="59"/>
        <v>550.24797612985128</v>
      </c>
      <c r="P69" s="4">
        <f t="shared" si="59"/>
        <v>566.75541541374696</v>
      </c>
      <c r="Q69" s="4">
        <f t="shared" si="59"/>
        <v>583.75807787615929</v>
      </c>
      <c r="R69" s="4">
        <f t="shared" si="59"/>
        <v>601.27082021244576</v>
      </c>
      <c r="S69" s="4">
        <f t="shared" si="59"/>
        <v>619.3089448188199</v>
      </c>
      <c r="T69" s="4">
        <f t="shared" si="59"/>
        <v>637.88821316338442</v>
      </c>
    </row>
    <row r="70" spans="1:20" x14ac:dyDescent="0.25">
      <c r="B70" s="13" t="s">
        <v>46</v>
      </c>
      <c r="C70" s="6"/>
      <c r="D70" s="6"/>
      <c r="E70" s="6">
        <f>SUM(E69)</f>
        <v>15000</v>
      </c>
      <c r="F70" s="6">
        <f t="shared" ref="F70:T70" si="60">SUM(F69)</f>
        <v>15000</v>
      </c>
      <c r="G70" s="6">
        <f t="shared" si="60"/>
        <v>15000</v>
      </c>
      <c r="H70" s="6">
        <f t="shared" si="60"/>
        <v>15000</v>
      </c>
      <c r="I70" s="6">
        <f t="shared" si="60"/>
        <v>15000</v>
      </c>
      <c r="J70" s="6">
        <f t="shared" si="60"/>
        <v>753.86000000000058</v>
      </c>
      <c r="K70" s="6">
        <f t="shared" si="60"/>
        <v>712.39769999999851</v>
      </c>
      <c r="L70" s="6">
        <f t="shared" si="60"/>
        <v>661.73830799999996</v>
      </c>
      <c r="M70" s="6">
        <f t="shared" si="60"/>
        <v>602.18186027999911</v>
      </c>
      <c r="N70" s="6">
        <f t="shared" si="60"/>
        <v>534.22133604839917</v>
      </c>
      <c r="O70" s="6">
        <f t="shared" si="60"/>
        <v>550.24797612985128</v>
      </c>
      <c r="P70" s="6">
        <f t="shared" si="60"/>
        <v>566.75541541374696</v>
      </c>
      <c r="Q70" s="6">
        <f t="shared" si="60"/>
        <v>583.75807787615929</v>
      </c>
      <c r="R70" s="6">
        <f t="shared" si="60"/>
        <v>601.27082021244576</v>
      </c>
      <c r="S70" s="6">
        <f t="shared" si="60"/>
        <v>619.3089448188199</v>
      </c>
      <c r="T70" s="6">
        <f t="shared" si="60"/>
        <v>637.88821316338442</v>
      </c>
    </row>
    <row r="72" spans="1:20" x14ac:dyDescent="0.25">
      <c r="B72" s="11" t="s">
        <v>47</v>
      </c>
    </row>
    <row r="73" spans="1:20" x14ac:dyDescent="0.25">
      <c r="B73" s="10" t="s">
        <v>48</v>
      </c>
      <c r="E73" s="21"/>
      <c r="F73" s="21"/>
      <c r="G73" s="21">
        <v>-20000</v>
      </c>
      <c r="H73" s="21"/>
      <c r="I73" s="21"/>
      <c r="J73" s="4">
        <f>J19</f>
        <v>0</v>
      </c>
      <c r="K73" s="4">
        <f t="shared" ref="K73:N73" si="61">K19</f>
        <v>0</v>
      </c>
      <c r="L73" s="4">
        <f t="shared" si="61"/>
        <v>-20000</v>
      </c>
      <c r="M73" s="4">
        <f t="shared" si="61"/>
        <v>0</v>
      </c>
      <c r="N73" s="4">
        <f t="shared" si="61"/>
        <v>0</v>
      </c>
      <c r="O73" s="4">
        <f t="shared" ref="O73:T73" si="62">O19</f>
        <v>0</v>
      </c>
      <c r="P73" s="4">
        <f t="shared" si="62"/>
        <v>0</v>
      </c>
      <c r="Q73" s="4">
        <f t="shared" si="62"/>
        <v>0</v>
      </c>
      <c r="R73" s="4">
        <f t="shared" si="62"/>
        <v>0</v>
      </c>
      <c r="S73" s="4">
        <f t="shared" si="62"/>
        <v>0</v>
      </c>
      <c r="T73" s="4">
        <f t="shared" si="62"/>
        <v>0</v>
      </c>
    </row>
    <row r="74" spans="1:20" x14ac:dyDescent="0.25">
      <c r="B74" s="10" t="s">
        <v>49</v>
      </c>
      <c r="E74" s="21">
        <v>170000</v>
      </c>
      <c r="F74" s="21"/>
      <c r="G74" s="21"/>
      <c r="H74" s="21"/>
      <c r="I74" s="21"/>
      <c r="J74" s="4">
        <f>J20</f>
        <v>0</v>
      </c>
      <c r="K74" s="4">
        <f t="shared" ref="K74:N74" si="63">K20</f>
        <v>0</v>
      </c>
      <c r="L74" s="4">
        <f t="shared" si="63"/>
        <v>0</v>
      </c>
      <c r="M74" s="4">
        <f t="shared" si="63"/>
        <v>-150000</v>
      </c>
      <c r="N74" s="4">
        <f t="shared" si="63"/>
        <v>0</v>
      </c>
      <c r="O74" s="4">
        <f t="shared" ref="O74:T74" si="64">O20</f>
        <v>0</v>
      </c>
      <c r="P74" s="4">
        <f t="shared" si="64"/>
        <v>0</v>
      </c>
      <c r="Q74" s="4">
        <f t="shared" si="64"/>
        <v>0</v>
      </c>
      <c r="R74" s="4">
        <f t="shared" si="64"/>
        <v>0</v>
      </c>
      <c r="S74" s="4">
        <f t="shared" si="64"/>
        <v>0</v>
      </c>
      <c r="T74" s="4">
        <f t="shared" si="64"/>
        <v>0</v>
      </c>
    </row>
    <row r="75" spans="1:20" x14ac:dyDescent="0.25">
      <c r="B75" s="13" t="s">
        <v>50</v>
      </c>
      <c r="C75" s="6"/>
      <c r="D75" s="6"/>
      <c r="E75" s="6">
        <f>SUM(E73:E74)</f>
        <v>170000</v>
      </c>
      <c r="F75" s="6">
        <f t="shared" ref="F75:T75" si="65">SUM(F73:F74)</f>
        <v>0</v>
      </c>
      <c r="G75" s="6">
        <f t="shared" si="65"/>
        <v>-20000</v>
      </c>
      <c r="H75" s="6">
        <f t="shared" si="65"/>
        <v>0</v>
      </c>
      <c r="I75" s="6">
        <f t="shared" si="65"/>
        <v>0</v>
      </c>
      <c r="J75" s="6">
        <f t="shared" si="65"/>
        <v>0</v>
      </c>
      <c r="K75" s="6">
        <f t="shared" si="65"/>
        <v>0</v>
      </c>
      <c r="L75" s="6">
        <f t="shared" si="65"/>
        <v>-20000</v>
      </c>
      <c r="M75" s="6">
        <f t="shared" si="65"/>
        <v>-150000</v>
      </c>
      <c r="N75" s="6">
        <f t="shared" si="65"/>
        <v>0</v>
      </c>
      <c r="O75" s="6">
        <f t="shared" si="65"/>
        <v>0</v>
      </c>
      <c r="P75" s="6">
        <f t="shared" si="65"/>
        <v>0</v>
      </c>
      <c r="Q75" s="6">
        <f t="shared" si="65"/>
        <v>0</v>
      </c>
      <c r="R75" s="6">
        <f t="shared" si="65"/>
        <v>0</v>
      </c>
      <c r="S75" s="6">
        <f t="shared" si="65"/>
        <v>0</v>
      </c>
      <c r="T75" s="6">
        <f t="shared" si="65"/>
        <v>0</v>
      </c>
    </row>
    <row r="77" spans="1:20" x14ac:dyDescent="0.25">
      <c r="B77" s="10" t="s">
        <v>51</v>
      </c>
      <c r="E77" s="4">
        <f>E66-E70+E75</f>
        <v>167971</v>
      </c>
      <c r="F77" s="4">
        <f t="shared" ref="F77:T77" si="66">F66-F70+F75</f>
        <v>13239</v>
      </c>
      <c r="G77" s="4">
        <f t="shared" si="66"/>
        <v>2505</v>
      </c>
      <c r="H77" s="4">
        <f t="shared" si="66"/>
        <v>27354</v>
      </c>
      <c r="I77" s="4">
        <f t="shared" si="66"/>
        <v>28481</v>
      </c>
      <c r="J77" s="4">
        <f t="shared" si="66"/>
        <v>49035.941496986314</v>
      </c>
      <c r="K77" s="4">
        <f t="shared" si="66"/>
        <v>50475.341367364381</v>
      </c>
      <c r="L77" s="4">
        <f t="shared" si="66"/>
        <v>34017.009097464543</v>
      </c>
      <c r="M77" s="4">
        <f t="shared" si="66"/>
        <v>-93412.451170692482</v>
      </c>
      <c r="N77" s="4">
        <f t="shared" si="66"/>
        <v>60319.743375271595</v>
      </c>
      <c r="O77" s="4">
        <f t="shared" si="66"/>
        <v>62468.234099383895</v>
      </c>
      <c r="P77" s="4">
        <f t="shared" si="66"/>
        <v>64959.154242602177</v>
      </c>
      <c r="Q77" s="4">
        <f t="shared" si="66"/>
        <v>67583.044742022277</v>
      </c>
      <c r="R77" s="4">
        <f t="shared" si="66"/>
        <v>70320.597607568183</v>
      </c>
      <c r="S77" s="4">
        <f t="shared" si="66"/>
        <v>73161.244449766367</v>
      </c>
      <c r="T77" s="4">
        <f t="shared" si="66"/>
        <v>76099.691131642045</v>
      </c>
    </row>
    <row r="78" spans="1:20" x14ac:dyDescent="0.25">
      <c r="B78" s="10" t="s">
        <v>52</v>
      </c>
      <c r="E78" s="4">
        <f t="shared" ref="E78:T78" si="67">D79</f>
        <v>0</v>
      </c>
      <c r="F78" s="4">
        <f t="shared" si="67"/>
        <v>167971</v>
      </c>
      <c r="G78" s="4">
        <f t="shared" si="67"/>
        <v>181210</v>
      </c>
      <c r="H78" s="4">
        <f t="shared" si="67"/>
        <v>183715</v>
      </c>
      <c r="I78" s="4">
        <f t="shared" si="67"/>
        <v>211069</v>
      </c>
      <c r="J78" s="4">
        <f t="shared" si="67"/>
        <v>239550</v>
      </c>
      <c r="K78" s="4">
        <f t="shared" si="67"/>
        <v>288585.94149698631</v>
      </c>
      <c r="L78" s="4">
        <f t="shared" si="67"/>
        <v>339061.28286435071</v>
      </c>
      <c r="M78" s="4">
        <f t="shared" si="67"/>
        <v>373078.29196181527</v>
      </c>
      <c r="N78" s="4">
        <f t="shared" si="67"/>
        <v>279665.84079112276</v>
      </c>
      <c r="O78" s="4">
        <f t="shared" si="67"/>
        <v>339985.58416639437</v>
      </c>
      <c r="P78" s="4">
        <f t="shared" si="67"/>
        <v>402453.81826577825</v>
      </c>
      <c r="Q78" s="4">
        <f t="shared" si="67"/>
        <v>467412.97250838042</v>
      </c>
      <c r="R78" s="4">
        <f t="shared" si="67"/>
        <v>534996.01725040271</v>
      </c>
      <c r="S78" s="4">
        <f t="shared" si="67"/>
        <v>605316.61485797085</v>
      </c>
      <c r="T78" s="4">
        <f t="shared" si="67"/>
        <v>678477.85930773721</v>
      </c>
    </row>
    <row r="79" spans="1:20" x14ac:dyDescent="0.25">
      <c r="B79" s="13" t="s">
        <v>53</v>
      </c>
      <c r="C79" s="6"/>
      <c r="D79" s="6"/>
      <c r="E79" s="6">
        <f>SUM(E77:E78)</f>
        <v>167971</v>
      </c>
      <c r="F79" s="6">
        <f t="shared" ref="F79:T79" si="68">SUM(F77:F78)</f>
        <v>181210</v>
      </c>
      <c r="G79" s="6">
        <f t="shared" si="68"/>
        <v>183715</v>
      </c>
      <c r="H79" s="6">
        <f t="shared" si="68"/>
        <v>211069</v>
      </c>
      <c r="I79" s="6">
        <f t="shared" si="68"/>
        <v>239550</v>
      </c>
      <c r="J79" s="6">
        <f t="shared" si="68"/>
        <v>288585.94149698631</v>
      </c>
      <c r="K79" s="6">
        <f t="shared" si="68"/>
        <v>339061.28286435071</v>
      </c>
      <c r="L79" s="6">
        <f t="shared" si="68"/>
        <v>373078.29196181527</v>
      </c>
      <c r="M79" s="6">
        <f t="shared" si="68"/>
        <v>279665.84079112276</v>
      </c>
      <c r="N79" s="6">
        <f t="shared" si="68"/>
        <v>339985.58416639437</v>
      </c>
      <c r="O79" s="6">
        <f t="shared" si="68"/>
        <v>402453.81826577825</v>
      </c>
      <c r="P79" s="6">
        <f t="shared" si="68"/>
        <v>467412.97250838042</v>
      </c>
      <c r="Q79" s="6">
        <f t="shared" si="68"/>
        <v>534996.01725040271</v>
      </c>
      <c r="R79" s="6">
        <f t="shared" si="68"/>
        <v>605316.61485797085</v>
      </c>
      <c r="S79" s="6">
        <f t="shared" si="68"/>
        <v>678477.85930773721</v>
      </c>
      <c r="T79" s="6">
        <f t="shared" si="68"/>
        <v>754577.55043937929</v>
      </c>
    </row>
    <row r="81" spans="2:20" x14ac:dyDescent="0.25">
      <c r="B81" s="10" t="s">
        <v>39</v>
      </c>
      <c r="E81" s="20">
        <f>E79-E42</f>
        <v>0</v>
      </c>
      <c r="F81" s="20">
        <f t="shared" ref="F81:T81" si="69">F79-F42</f>
        <v>0</v>
      </c>
      <c r="G81" s="20">
        <f t="shared" si="69"/>
        <v>0</v>
      </c>
      <c r="H81" s="20">
        <f t="shared" si="69"/>
        <v>0</v>
      </c>
      <c r="I81" s="20">
        <f t="shared" si="69"/>
        <v>0</v>
      </c>
      <c r="J81" s="20">
        <f t="shared" si="69"/>
        <v>0</v>
      </c>
      <c r="K81" s="20">
        <f t="shared" si="69"/>
        <v>0</v>
      </c>
      <c r="L81" s="20">
        <f t="shared" si="69"/>
        <v>0</v>
      </c>
      <c r="M81" s="20">
        <f t="shared" si="69"/>
        <v>0</v>
      </c>
      <c r="N81" s="20">
        <f t="shared" si="69"/>
        <v>0</v>
      </c>
      <c r="O81" s="20">
        <f t="shared" si="69"/>
        <v>0</v>
      </c>
      <c r="P81" s="20">
        <f t="shared" si="69"/>
        <v>0</v>
      </c>
      <c r="Q81" s="20">
        <f t="shared" si="69"/>
        <v>0</v>
      </c>
      <c r="R81" s="20">
        <f t="shared" si="69"/>
        <v>0</v>
      </c>
      <c r="S81" s="20">
        <f t="shared" si="69"/>
        <v>0</v>
      </c>
      <c r="T81" s="20">
        <f t="shared" si="69"/>
        <v>0</v>
      </c>
    </row>
    <row r="84" spans="2:20" ht="15.75" x14ac:dyDescent="0.25">
      <c r="B84" s="12" t="s">
        <v>54</v>
      </c>
      <c r="C84" s="16"/>
      <c r="D84" s="16"/>
      <c r="E84" s="27">
        <f t="shared" ref="E84:T84" si="70">E61</f>
        <v>2014</v>
      </c>
      <c r="F84" s="27">
        <f t="shared" si="70"/>
        <v>2015</v>
      </c>
      <c r="G84" s="27">
        <f t="shared" si="70"/>
        <v>2016</v>
      </c>
      <c r="H84" s="27">
        <f t="shared" si="70"/>
        <v>2017</v>
      </c>
      <c r="I84" s="27">
        <f t="shared" si="70"/>
        <v>2018</v>
      </c>
      <c r="J84" s="16">
        <f t="shared" si="70"/>
        <v>2019</v>
      </c>
      <c r="K84" s="16">
        <f t="shared" si="70"/>
        <v>2020</v>
      </c>
      <c r="L84" s="16">
        <f t="shared" si="70"/>
        <v>2021</v>
      </c>
      <c r="M84" s="16">
        <f t="shared" si="70"/>
        <v>2022</v>
      </c>
      <c r="N84" s="16">
        <f t="shared" si="70"/>
        <v>2023</v>
      </c>
      <c r="O84" s="16">
        <f t="shared" si="70"/>
        <v>2024</v>
      </c>
      <c r="P84" s="16">
        <f t="shared" si="70"/>
        <v>2025</v>
      </c>
      <c r="Q84" s="16">
        <f t="shared" si="70"/>
        <v>2026</v>
      </c>
      <c r="R84" s="16">
        <f t="shared" si="70"/>
        <v>2027</v>
      </c>
      <c r="S84" s="16">
        <f t="shared" si="70"/>
        <v>2028</v>
      </c>
      <c r="T84" s="16">
        <f t="shared" si="70"/>
        <v>2029</v>
      </c>
    </row>
    <row r="85" spans="2:20" x14ac:dyDescent="0.25">
      <c r="B85" s="11" t="s">
        <v>66</v>
      </c>
    </row>
    <row r="86" spans="2:20" x14ac:dyDescent="0.25">
      <c r="B86" s="10" t="s">
        <v>26</v>
      </c>
      <c r="E86" s="21">
        <v>5100</v>
      </c>
      <c r="F86" s="21">
        <v>5904</v>
      </c>
      <c r="G86" s="21">
        <v>6567</v>
      </c>
      <c r="H86" s="21">
        <v>7117</v>
      </c>
      <c r="I86" s="21">
        <v>7539</v>
      </c>
      <c r="J86" s="4">
        <f>J43</f>
        <v>7807.0980821917819</v>
      </c>
      <c r="K86" s="4">
        <f t="shared" ref="K86:N86" si="71">K43</f>
        <v>8158.4174958904105</v>
      </c>
      <c r="L86" s="4">
        <f t="shared" si="71"/>
        <v>8484.7541957260273</v>
      </c>
      <c r="M86" s="4">
        <f t="shared" si="71"/>
        <v>8781.7205925764374</v>
      </c>
      <c r="N86" s="4">
        <f t="shared" si="71"/>
        <v>9045.1722103537304</v>
      </c>
      <c r="O86" s="4">
        <f t="shared" ref="O86:T86" si="72">O43</f>
        <v>9316.5273766643422</v>
      </c>
      <c r="P86" s="4">
        <f t="shared" si="72"/>
        <v>9596.0231979642722</v>
      </c>
      <c r="Q86" s="4">
        <f t="shared" si="72"/>
        <v>9883.9038939031998</v>
      </c>
      <c r="R86" s="4">
        <f t="shared" si="72"/>
        <v>10180.421010720296</v>
      </c>
      <c r="S86" s="4">
        <f t="shared" si="72"/>
        <v>10485.833641041905</v>
      </c>
      <c r="T86" s="4">
        <f t="shared" si="72"/>
        <v>10800.408650273164</v>
      </c>
    </row>
    <row r="87" spans="2:20" x14ac:dyDescent="0.25">
      <c r="B87" s="10" t="s">
        <v>55</v>
      </c>
      <c r="E87" s="21">
        <v>7805</v>
      </c>
      <c r="F87" s="21">
        <v>9601</v>
      </c>
      <c r="G87" s="21">
        <v>9825</v>
      </c>
      <c r="H87" s="21">
        <v>10531</v>
      </c>
      <c r="I87" s="21">
        <v>11342</v>
      </c>
      <c r="J87" s="4">
        <f>J44</f>
        <v>11714.984399999999</v>
      </c>
      <c r="K87" s="4">
        <f t="shared" ref="K87:N87" si="73">K44</f>
        <v>12242.158697999999</v>
      </c>
      <c r="L87" s="4">
        <f t="shared" si="73"/>
        <v>12387.741125759998</v>
      </c>
      <c r="M87" s="4">
        <f t="shared" si="73"/>
        <v>12821.312065161599</v>
      </c>
      <c r="N87" s="4">
        <f t="shared" si="73"/>
        <v>12839.119443029876</v>
      </c>
      <c r="O87" s="4">
        <f t="shared" ref="O87:T87" si="74">O44</f>
        <v>13224.293026320775</v>
      </c>
      <c r="P87" s="4">
        <f t="shared" si="74"/>
        <v>13621.021817110397</v>
      </c>
      <c r="Q87" s="4">
        <f t="shared" si="74"/>
        <v>14029.652471623707</v>
      </c>
      <c r="R87" s="4">
        <f t="shared" si="74"/>
        <v>14450.542045772419</v>
      </c>
      <c r="S87" s="4">
        <f t="shared" si="74"/>
        <v>14884.058307145595</v>
      </c>
      <c r="T87" s="4">
        <f t="shared" si="74"/>
        <v>15330.580056359964</v>
      </c>
    </row>
    <row r="88" spans="2:20" x14ac:dyDescent="0.25">
      <c r="B88" s="10" t="s">
        <v>31</v>
      </c>
      <c r="E88" s="21">
        <v>3902</v>
      </c>
      <c r="F88" s="21">
        <v>4800</v>
      </c>
      <c r="G88" s="21">
        <v>4912</v>
      </c>
      <c r="H88" s="21">
        <v>5265</v>
      </c>
      <c r="I88" s="21">
        <v>5671</v>
      </c>
      <c r="J88" s="4">
        <f>J49</f>
        <v>5937.7318191780823</v>
      </c>
      <c r="K88" s="4">
        <f t="shared" ref="K88:N88" si="75">K49</f>
        <v>6204.9297510410952</v>
      </c>
      <c r="L88" s="4">
        <f t="shared" si="75"/>
        <v>6278.7181048372595</v>
      </c>
      <c r="M88" s="4">
        <f t="shared" si="75"/>
        <v>6498.4732385065636</v>
      </c>
      <c r="N88" s="4">
        <f t="shared" si="75"/>
        <v>6507.498895782267</v>
      </c>
      <c r="O88" s="4">
        <f t="shared" ref="O88:T88" si="76">O49</f>
        <v>6702.7238626557337</v>
      </c>
      <c r="P88" s="4">
        <f t="shared" si="76"/>
        <v>6903.8055785354072</v>
      </c>
      <c r="Q88" s="4">
        <f t="shared" si="76"/>
        <v>7110.9197458914668</v>
      </c>
      <c r="R88" s="4">
        <f t="shared" si="76"/>
        <v>7324.2473382682119</v>
      </c>
      <c r="S88" s="4">
        <f t="shared" si="76"/>
        <v>7543.9747584162596</v>
      </c>
      <c r="T88" s="4">
        <f t="shared" si="76"/>
        <v>7770.2940011687479</v>
      </c>
    </row>
    <row r="89" spans="2:20" x14ac:dyDescent="0.25">
      <c r="B89" s="22" t="s">
        <v>57</v>
      </c>
      <c r="C89" s="18"/>
      <c r="D89" s="18"/>
      <c r="E89" s="18">
        <f>E86+E87-E88</f>
        <v>9003</v>
      </c>
      <c r="F89" s="18">
        <f t="shared" ref="F89:T89" si="77">F86+F87-F88</f>
        <v>10705</v>
      </c>
      <c r="G89" s="18">
        <f t="shared" si="77"/>
        <v>11480</v>
      </c>
      <c r="H89" s="18">
        <f t="shared" si="77"/>
        <v>12383</v>
      </c>
      <c r="I89" s="18">
        <f t="shared" si="77"/>
        <v>13210</v>
      </c>
      <c r="J89" s="18">
        <f t="shared" si="77"/>
        <v>13584.350663013698</v>
      </c>
      <c r="K89" s="18">
        <f t="shared" si="77"/>
        <v>14195.646442849316</v>
      </c>
      <c r="L89" s="18">
        <f t="shared" si="77"/>
        <v>14593.777216648767</v>
      </c>
      <c r="M89" s="18">
        <f t="shared" si="77"/>
        <v>15104.559419231473</v>
      </c>
      <c r="N89" s="18">
        <f t="shared" si="77"/>
        <v>15376.792757601339</v>
      </c>
      <c r="O89" s="18">
        <f t="shared" si="77"/>
        <v>15838.096540329385</v>
      </c>
      <c r="P89" s="18">
        <f t="shared" si="77"/>
        <v>16313.239436539261</v>
      </c>
      <c r="Q89" s="18">
        <f t="shared" si="77"/>
        <v>16802.636619635439</v>
      </c>
      <c r="R89" s="18">
        <f t="shared" si="77"/>
        <v>17306.715718224503</v>
      </c>
      <c r="S89" s="18">
        <f t="shared" si="77"/>
        <v>17825.917189771237</v>
      </c>
      <c r="T89" s="18">
        <f t="shared" si="77"/>
        <v>18360.694705464382</v>
      </c>
    </row>
    <row r="90" spans="2:20" x14ac:dyDescent="0.25">
      <c r="B90" s="10" t="s">
        <v>56</v>
      </c>
      <c r="E90" s="4">
        <f>E89-D89</f>
        <v>9003</v>
      </c>
      <c r="F90" s="4">
        <f t="shared" ref="F90:J90" si="78">F89-E89</f>
        <v>1702</v>
      </c>
      <c r="G90" s="4">
        <f t="shared" si="78"/>
        <v>775</v>
      </c>
      <c r="H90" s="4">
        <f t="shared" si="78"/>
        <v>903</v>
      </c>
      <c r="I90" s="4">
        <f t="shared" si="78"/>
        <v>827</v>
      </c>
      <c r="J90" s="4">
        <f t="shared" si="78"/>
        <v>374.35066301369807</v>
      </c>
      <c r="K90" s="4">
        <f t="shared" ref="K90" si="79">K89-J89</f>
        <v>611.2957798356183</v>
      </c>
      <c r="L90" s="4">
        <f t="shared" ref="L90" si="80">L89-K89</f>
        <v>398.13077379945025</v>
      </c>
      <c r="M90" s="4">
        <f t="shared" ref="M90" si="81">M89-L89</f>
        <v>510.7822025827063</v>
      </c>
      <c r="N90" s="4">
        <f t="shared" ref="N90:O90" si="82">N89-M89</f>
        <v>272.23333836986603</v>
      </c>
      <c r="O90" s="4">
        <f t="shared" si="82"/>
        <v>461.30378272804592</v>
      </c>
      <c r="P90" s="4">
        <f t="shared" ref="P90" si="83">P89-O89</f>
        <v>475.1428962098762</v>
      </c>
      <c r="Q90" s="4">
        <f t="shared" ref="Q90" si="84">Q89-P89</f>
        <v>489.3971830961782</v>
      </c>
      <c r="R90" s="4">
        <f t="shared" ref="R90" si="85">R89-Q89</f>
        <v>504.07909858906351</v>
      </c>
      <c r="S90" s="4">
        <f t="shared" ref="S90:T90" si="86">S89-R89</f>
        <v>519.20147154673396</v>
      </c>
      <c r="T90" s="4">
        <f t="shared" si="86"/>
        <v>534.77751569314569</v>
      </c>
    </row>
    <row r="92" spans="2:20" x14ac:dyDescent="0.25">
      <c r="B92" s="11" t="s">
        <v>68</v>
      </c>
    </row>
    <row r="93" spans="2:20" x14ac:dyDescent="0.25">
      <c r="B93" s="10" t="s">
        <v>58</v>
      </c>
      <c r="E93" s="21">
        <v>50000</v>
      </c>
      <c r="F93" s="21">
        <v>45500</v>
      </c>
      <c r="G93" s="21">
        <v>42350</v>
      </c>
      <c r="H93" s="21">
        <v>40145</v>
      </c>
      <c r="I93" s="21">
        <v>38602</v>
      </c>
      <c r="J93" s="4">
        <f>I96</f>
        <v>37522</v>
      </c>
      <c r="K93" s="4">
        <f t="shared" ref="K93:N93" si="87">J96</f>
        <v>23267.059999999998</v>
      </c>
      <c r="L93" s="4">
        <f t="shared" si="87"/>
        <v>14672.633699999997</v>
      </c>
      <c r="M93" s="4">
        <f t="shared" si="87"/>
        <v>9465.318527999998</v>
      </c>
      <c r="N93" s="4">
        <f t="shared" si="87"/>
        <v>6281.3729770799982</v>
      </c>
      <c r="O93" s="4">
        <f t="shared" ref="O93:T93" si="88">N96</f>
        <v>4303.0451222963984</v>
      </c>
      <c r="P93" s="4">
        <f t="shared" si="88"/>
        <v>3132.07504950769</v>
      </c>
      <c r="Q93" s="4">
        <f t="shared" si="88"/>
        <v>2446.0004451183609</v>
      </c>
      <c r="R93" s="4">
        <f t="shared" si="88"/>
        <v>2051.3583449471757</v>
      </c>
      <c r="S93" s="4">
        <f t="shared" si="88"/>
        <v>1832.0858271807513</v>
      </c>
      <c r="T93" s="4">
        <f t="shared" si="88"/>
        <v>1718.5604411272707</v>
      </c>
    </row>
    <row r="94" spans="2:20" x14ac:dyDescent="0.25">
      <c r="B94" s="10" t="s">
        <v>59</v>
      </c>
      <c r="E94" s="21">
        <v>15000</v>
      </c>
      <c r="F94" s="21">
        <v>15000</v>
      </c>
      <c r="G94" s="21">
        <v>15000</v>
      </c>
      <c r="H94" s="21">
        <v>15000</v>
      </c>
      <c r="I94" s="21">
        <v>15000</v>
      </c>
      <c r="J94" s="4">
        <f t="shared" ref="J94:T94" si="89">J18</f>
        <v>753.86000000000058</v>
      </c>
      <c r="K94" s="4">
        <f t="shared" si="89"/>
        <v>712.39769999999851</v>
      </c>
      <c r="L94" s="4">
        <f t="shared" si="89"/>
        <v>661.73830799999996</v>
      </c>
      <c r="M94" s="4">
        <f t="shared" si="89"/>
        <v>602.18186027999911</v>
      </c>
      <c r="N94" s="4">
        <f t="shared" si="89"/>
        <v>534.22133604839917</v>
      </c>
      <c r="O94" s="4">
        <f t="shared" si="89"/>
        <v>550.24797612985128</v>
      </c>
      <c r="P94" s="4">
        <f t="shared" si="89"/>
        <v>566.75541541374696</v>
      </c>
      <c r="Q94" s="4">
        <f t="shared" si="89"/>
        <v>583.75807787615929</v>
      </c>
      <c r="R94" s="4">
        <f t="shared" si="89"/>
        <v>601.27082021244576</v>
      </c>
      <c r="S94" s="4">
        <f t="shared" si="89"/>
        <v>619.3089448188199</v>
      </c>
      <c r="T94" s="4">
        <f t="shared" si="89"/>
        <v>637.88821316338442</v>
      </c>
    </row>
    <row r="95" spans="2:20" x14ac:dyDescent="0.25">
      <c r="B95" s="10" t="s">
        <v>60</v>
      </c>
      <c r="E95" s="21">
        <v>19500</v>
      </c>
      <c r="F95" s="21">
        <v>18150</v>
      </c>
      <c r="G95" s="21">
        <v>17205</v>
      </c>
      <c r="H95" s="21">
        <v>16544</v>
      </c>
      <c r="I95" s="21">
        <v>16080</v>
      </c>
      <c r="J95" s="4">
        <f t="shared" ref="J95:T95" si="90">J93*J11</f>
        <v>15008.800000000001</v>
      </c>
      <c r="K95" s="4">
        <f t="shared" si="90"/>
        <v>9306.8239999999987</v>
      </c>
      <c r="L95" s="4">
        <f t="shared" si="90"/>
        <v>5869.0534799999987</v>
      </c>
      <c r="M95" s="4">
        <f t="shared" si="90"/>
        <v>3786.1274111999992</v>
      </c>
      <c r="N95" s="4">
        <f t="shared" si="90"/>
        <v>2512.5491908319996</v>
      </c>
      <c r="O95" s="4">
        <f t="shared" si="90"/>
        <v>1721.2180489185594</v>
      </c>
      <c r="P95" s="4">
        <f t="shared" si="90"/>
        <v>1252.8300198030761</v>
      </c>
      <c r="Q95" s="4">
        <f t="shared" si="90"/>
        <v>978.40017804734441</v>
      </c>
      <c r="R95" s="4">
        <f t="shared" si="90"/>
        <v>820.54333797887034</v>
      </c>
      <c r="S95" s="4">
        <f t="shared" si="90"/>
        <v>732.8343308723006</v>
      </c>
      <c r="T95" s="4">
        <f t="shared" si="90"/>
        <v>687.42417645090836</v>
      </c>
    </row>
    <row r="96" spans="2:20" x14ac:dyDescent="0.25">
      <c r="B96" s="22" t="s">
        <v>61</v>
      </c>
      <c r="C96" s="18"/>
      <c r="D96" s="18"/>
      <c r="E96" s="18">
        <f>E93+E94-E95</f>
        <v>45500</v>
      </c>
      <c r="F96" s="18">
        <f t="shared" ref="F96:I96" si="91">F93+F94-F95</f>
        <v>42350</v>
      </c>
      <c r="G96" s="18">
        <f t="shared" si="91"/>
        <v>40145</v>
      </c>
      <c r="H96" s="18">
        <f t="shared" si="91"/>
        <v>38601</v>
      </c>
      <c r="I96" s="18">
        <f t="shared" si="91"/>
        <v>37522</v>
      </c>
      <c r="J96" s="18">
        <f>J93+J94-J95</f>
        <v>23267.059999999998</v>
      </c>
      <c r="K96" s="18">
        <f t="shared" ref="K96:N96" si="92">K93+K94-K95</f>
        <v>14672.633699999997</v>
      </c>
      <c r="L96" s="18">
        <f t="shared" si="92"/>
        <v>9465.318527999998</v>
      </c>
      <c r="M96" s="18">
        <f t="shared" si="92"/>
        <v>6281.3729770799982</v>
      </c>
      <c r="N96" s="18">
        <f t="shared" si="92"/>
        <v>4303.0451222963984</v>
      </c>
      <c r="O96" s="18">
        <f t="shared" ref="O96" si="93">O93+O94-O95</f>
        <v>3132.07504950769</v>
      </c>
      <c r="P96" s="18">
        <f t="shared" ref="P96" si="94">P93+P94-P95</f>
        <v>2446.0004451183609</v>
      </c>
      <c r="Q96" s="18">
        <f t="shared" ref="Q96" si="95">Q93+Q94-Q95</f>
        <v>2051.3583449471757</v>
      </c>
      <c r="R96" s="18">
        <f t="shared" ref="R96" si="96">R93+R94-R95</f>
        <v>1832.0858271807513</v>
      </c>
      <c r="S96" s="18">
        <f t="shared" ref="S96" si="97">S93+S94-S95</f>
        <v>1718.5604411272707</v>
      </c>
      <c r="T96" s="18">
        <f t="shared" ref="T96" si="98">T93+T94-T95</f>
        <v>1669.0244778397469</v>
      </c>
    </row>
    <row r="98" spans="2:20" x14ac:dyDescent="0.25">
      <c r="B98" s="11" t="s">
        <v>67</v>
      </c>
    </row>
    <row r="99" spans="2:20" x14ac:dyDescent="0.25">
      <c r="B99" s="10" t="s">
        <v>62</v>
      </c>
      <c r="E99" s="21">
        <v>50000</v>
      </c>
      <c r="F99" s="21">
        <v>50000</v>
      </c>
      <c r="G99" s="21">
        <v>50000</v>
      </c>
      <c r="H99" s="21">
        <v>30000</v>
      </c>
      <c r="I99" s="21">
        <v>30000</v>
      </c>
      <c r="J99" s="4">
        <f>I101</f>
        <v>30000</v>
      </c>
      <c r="K99" s="4">
        <f t="shared" ref="K99:N99" si="99">J101</f>
        <v>30000</v>
      </c>
      <c r="L99" s="4">
        <f t="shared" si="99"/>
        <v>30000</v>
      </c>
      <c r="M99" s="4">
        <f t="shared" si="99"/>
        <v>10000</v>
      </c>
      <c r="N99" s="4">
        <f t="shared" si="99"/>
        <v>10000</v>
      </c>
      <c r="O99" s="4">
        <f t="shared" ref="O99:T99" si="100">N101</f>
        <v>10000</v>
      </c>
      <c r="P99" s="4">
        <f t="shared" si="100"/>
        <v>10000</v>
      </c>
      <c r="Q99" s="4">
        <f t="shared" si="100"/>
        <v>10000</v>
      </c>
      <c r="R99" s="4">
        <f t="shared" si="100"/>
        <v>10000</v>
      </c>
      <c r="S99" s="4">
        <f t="shared" si="100"/>
        <v>10000</v>
      </c>
      <c r="T99" s="4">
        <f t="shared" si="100"/>
        <v>10000</v>
      </c>
    </row>
    <row r="100" spans="2:20" x14ac:dyDescent="0.25">
      <c r="B100" s="10" t="s">
        <v>63</v>
      </c>
      <c r="E100" s="21">
        <v>0</v>
      </c>
      <c r="F100" s="21">
        <v>0</v>
      </c>
      <c r="G100" s="21">
        <v>-20000</v>
      </c>
      <c r="H100" s="21">
        <v>0</v>
      </c>
      <c r="I100" s="21">
        <v>0</v>
      </c>
      <c r="J100" s="4">
        <f t="shared" ref="J100:T100" si="101">J19</f>
        <v>0</v>
      </c>
      <c r="K100" s="4">
        <f t="shared" si="101"/>
        <v>0</v>
      </c>
      <c r="L100" s="4">
        <f t="shared" si="101"/>
        <v>-20000</v>
      </c>
      <c r="M100" s="4">
        <f t="shared" si="101"/>
        <v>0</v>
      </c>
      <c r="N100" s="4">
        <f t="shared" si="101"/>
        <v>0</v>
      </c>
      <c r="O100" s="4">
        <f t="shared" si="101"/>
        <v>0</v>
      </c>
      <c r="P100" s="4">
        <f t="shared" si="101"/>
        <v>0</v>
      </c>
      <c r="Q100" s="4">
        <f t="shared" si="101"/>
        <v>0</v>
      </c>
      <c r="R100" s="4">
        <f t="shared" si="101"/>
        <v>0</v>
      </c>
      <c r="S100" s="4">
        <f t="shared" si="101"/>
        <v>0</v>
      </c>
      <c r="T100" s="4">
        <f t="shared" si="101"/>
        <v>0</v>
      </c>
    </row>
    <row r="101" spans="2:20" x14ac:dyDescent="0.25">
      <c r="B101" s="22" t="s">
        <v>64</v>
      </c>
      <c r="C101" s="18"/>
      <c r="D101" s="18"/>
      <c r="E101" s="18">
        <f>SUM(E99:E100)</f>
        <v>50000</v>
      </c>
      <c r="F101" s="18">
        <f t="shared" ref="F101:I101" si="102">SUM(F99:F100)</f>
        <v>50000</v>
      </c>
      <c r="G101" s="18">
        <f t="shared" si="102"/>
        <v>30000</v>
      </c>
      <c r="H101" s="18">
        <f t="shared" si="102"/>
        <v>30000</v>
      </c>
      <c r="I101" s="18">
        <f t="shared" si="102"/>
        <v>30000</v>
      </c>
      <c r="J101" s="18">
        <f>SUM(J99:J100)</f>
        <v>30000</v>
      </c>
      <c r="K101" s="18">
        <f t="shared" ref="K101:N101" si="103">SUM(K99:K100)</f>
        <v>30000</v>
      </c>
      <c r="L101" s="18">
        <f t="shared" si="103"/>
        <v>10000</v>
      </c>
      <c r="M101" s="18">
        <f t="shared" si="103"/>
        <v>10000</v>
      </c>
      <c r="N101" s="18">
        <f t="shared" si="103"/>
        <v>10000</v>
      </c>
      <c r="O101" s="18">
        <f t="shared" ref="O101" si="104">SUM(O99:O100)</f>
        <v>10000</v>
      </c>
      <c r="P101" s="18">
        <f t="shared" ref="P101" si="105">SUM(P99:P100)</f>
        <v>10000</v>
      </c>
      <c r="Q101" s="18">
        <f t="shared" ref="Q101" si="106">SUM(Q99:Q100)</f>
        <v>10000</v>
      </c>
      <c r="R101" s="18">
        <f t="shared" ref="R101" si="107">SUM(R99:R100)</f>
        <v>10000</v>
      </c>
      <c r="S101" s="18">
        <f t="shared" ref="S101" si="108">SUM(S99:S100)</f>
        <v>10000</v>
      </c>
      <c r="T101" s="18">
        <f t="shared" ref="T101" si="109">SUM(T99:T100)</f>
        <v>10000</v>
      </c>
    </row>
    <row r="102" spans="2:20" x14ac:dyDescent="0.25">
      <c r="B102" s="10" t="s">
        <v>65</v>
      </c>
      <c r="E102" s="21">
        <v>2500</v>
      </c>
      <c r="F102" s="21">
        <v>2500</v>
      </c>
      <c r="G102" s="21">
        <v>1500</v>
      </c>
      <c r="H102" s="21">
        <v>900</v>
      </c>
      <c r="I102" s="21">
        <v>900</v>
      </c>
      <c r="J102" s="4">
        <f t="shared" ref="J102:T102" si="110">J99*J12</f>
        <v>900</v>
      </c>
      <c r="K102" s="4">
        <f t="shared" si="110"/>
        <v>900</v>
      </c>
      <c r="L102" s="4">
        <f t="shared" si="110"/>
        <v>900</v>
      </c>
      <c r="M102" s="4">
        <f t="shared" si="110"/>
        <v>300</v>
      </c>
      <c r="N102" s="4">
        <f t="shared" si="110"/>
        <v>300</v>
      </c>
      <c r="O102" s="4">
        <f t="shared" si="110"/>
        <v>300</v>
      </c>
      <c r="P102" s="4">
        <f t="shared" si="110"/>
        <v>300</v>
      </c>
      <c r="Q102" s="4">
        <f t="shared" si="110"/>
        <v>300</v>
      </c>
      <c r="R102" s="4">
        <f t="shared" si="110"/>
        <v>300</v>
      </c>
      <c r="S102" s="4">
        <f t="shared" si="110"/>
        <v>300</v>
      </c>
      <c r="T102" s="4">
        <f t="shared" si="110"/>
        <v>300</v>
      </c>
    </row>
  </sheetData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63F4ABE-0821-4D1A-9062-41485ED1B2FB}">
  <dimension ref="A1:P10"/>
  <sheetViews>
    <sheetView workbookViewId="0">
      <selection activeCell="D21" sqref="D21"/>
    </sheetView>
  </sheetViews>
  <sheetFormatPr baseColWidth="10" defaultRowHeight="15" x14ac:dyDescent="0.25"/>
  <cols>
    <col min="1" max="1" width="18.28515625" customWidth="1"/>
  </cols>
  <sheetData>
    <row r="1" spans="1:16" x14ac:dyDescent="0.25">
      <c r="B1" s="27">
        <v>2014</v>
      </c>
      <c r="C1" s="27">
        <f>B1+1</f>
        <v>2015</v>
      </c>
      <c r="D1" s="27">
        <f t="shared" ref="D1:P2" si="0">C1+1</f>
        <v>2016</v>
      </c>
      <c r="E1" s="27">
        <f t="shared" si="0"/>
        <v>2017</v>
      </c>
      <c r="F1" s="27">
        <f t="shared" si="0"/>
        <v>2018</v>
      </c>
      <c r="G1" s="58">
        <f t="shared" si="0"/>
        <v>2019</v>
      </c>
      <c r="H1" s="58">
        <f t="shared" si="0"/>
        <v>2020</v>
      </c>
      <c r="I1" s="58">
        <f t="shared" si="0"/>
        <v>2021</v>
      </c>
      <c r="J1" s="58">
        <f t="shared" si="0"/>
        <v>2022</v>
      </c>
      <c r="K1" s="58">
        <f t="shared" si="0"/>
        <v>2023</v>
      </c>
      <c r="L1" s="58">
        <f t="shared" si="0"/>
        <v>2024</v>
      </c>
      <c r="M1" s="58">
        <f t="shared" si="0"/>
        <v>2025</v>
      </c>
      <c r="N1" s="58">
        <f t="shared" si="0"/>
        <v>2026</v>
      </c>
      <c r="O1" s="58">
        <f t="shared" si="0"/>
        <v>2027</v>
      </c>
      <c r="P1" s="58">
        <f t="shared" si="0"/>
        <v>2028</v>
      </c>
    </row>
    <row r="2" spans="1:16" x14ac:dyDescent="0.25">
      <c r="B2" s="3"/>
      <c r="C2" s="3"/>
      <c r="D2" s="3"/>
      <c r="E2" s="3"/>
      <c r="F2" s="3"/>
      <c r="G2" s="3">
        <v>1</v>
      </c>
      <c r="H2" s="3">
        <f>G2+1</f>
        <v>2</v>
      </c>
      <c r="I2" s="3">
        <f t="shared" si="0"/>
        <v>3</v>
      </c>
      <c r="J2" s="3">
        <f t="shared" si="0"/>
        <v>4</v>
      </c>
      <c r="K2" s="3">
        <f t="shared" si="0"/>
        <v>5</v>
      </c>
      <c r="L2" s="3">
        <f t="shared" si="0"/>
        <v>6</v>
      </c>
      <c r="M2" s="3">
        <f t="shared" si="0"/>
        <v>7</v>
      </c>
      <c r="N2" s="3">
        <f t="shared" si="0"/>
        <v>8</v>
      </c>
      <c r="O2" s="3">
        <f t="shared" si="0"/>
        <v>9</v>
      </c>
      <c r="P2" s="3">
        <f t="shared" si="0"/>
        <v>10</v>
      </c>
    </row>
    <row r="3" spans="1:16" x14ac:dyDescent="0.25">
      <c r="A3" t="s">
        <v>112</v>
      </c>
      <c r="B3" s="77">
        <f>'3 Financial statements'!E37/'3 Financial statements'!E55</f>
        <v>1.4344191008499832E-2</v>
      </c>
      <c r="C3" s="77">
        <f>'3 Financial statements'!F37/'3 Financial statements'!F55</f>
        <v>6.3989363145469838E-2</v>
      </c>
      <c r="D3" s="77">
        <f>'3 Financial statements'!G37/'3 Financial statements'!G55</f>
        <v>0.10263465471900263</v>
      </c>
      <c r="E3" s="77">
        <f>'3 Financial statements'!H37/'3 Financial statements'!H55</f>
        <v>0.11511594334052996</v>
      </c>
      <c r="F3" s="77">
        <f>'3 Financial statements'!I37/'3 Financial statements'!I55</f>
        <v>0.10844859382203781</v>
      </c>
      <c r="G3" s="77">
        <f>'3 Financial statements'!J37/'3 Financial statements'!J55</f>
        <v>0.11899507592091009</v>
      </c>
      <c r="H3" s="77">
        <f>'3 Financial statements'!K37/'3 Financial statements'!K55</f>
        <v>0.12574354831865148</v>
      </c>
      <c r="I3" s="77">
        <f>'3 Financial statements'!L37/'3 Financial statements'!L55</f>
        <v>0.12710753462965421</v>
      </c>
      <c r="J3" s="77">
        <f>'3 Financial statements'!M37/'3 Financial statements'!M55</f>
        <v>0.18524111835074236</v>
      </c>
      <c r="K3" s="77">
        <f>'3 Financial statements'!N37/'3 Financial statements'!N55</f>
        <v>0.16762876859077921</v>
      </c>
      <c r="L3" s="77">
        <f>'3 Financial statements'!O37/'3 Financial statements'!O55</f>
        <v>0.1501100313840707</v>
      </c>
      <c r="M3" s="77">
        <f>'3 Financial statements'!P37/'3 Financial statements'!P55</f>
        <v>0.13597705368723589</v>
      </c>
      <c r="N3" s="77">
        <f>'3 Financial statements'!Q37/'3 Financial statements'!Q55</f>
        <v>0.12444248816743668</v>
      </c>
      <c r="O3" s="77">
        <f>'3 Financial statements'!R37/'3 Financial statements'!R55</f>
        <v>0.11490765988684781</v>
      </c>
      <c r="P3" s="77">
        <f>'3 Financial statements'!S37/'3 Financial statements'!S55</f>
        <v>0.1069255029038786</v>
      </c>
    </row>
    <row r="4" spans="1:16" x14ac:dyDescent="0.25">
      <c r="A4" t="s">
        <v>113</v>
      </c>
      <c r="B4" s="77">
        <f>'3 Financial statements'!E37/'3 Financial statements'!E46</f>
        <v>1.0928720359048662E-2</v>
      </c>
      <c r="C4" s="77">
        <f>'3 Financial statements'!F37/'3 Financial statements'!F46</f>
        <v>4.9321314286909418E-2</v>
      </c>
      <c r="D4" s="77">
        <f>'3 Financial statements'!G37/'3 Financial statements'!G46</f>
        <v>8.7720393586733933E-2</v>
      </c>
      <c r="E4" s="77">
        <f>'3 Financial statements'!H37/'3 Financial statements'!H46</f>
        <v>9.9929297954877885E-2</v>
      </c>
      <c r="F4" s="77">
        <f>'3 Financial statements'!I37/'3 Financial statements'!I46</f>
        <v>9.5376953019408559E-2</v>
      </c>
      <c r="G4" s="77">
        <f>'3 Financial statements'!J37/'3 Financial statements'!J46</f>
        <v>0.10608930441556369</v>
      </c>
      <c r="H4" s="77">
        <f>'3 Financial statements'!K37/'3 Financial statements'!K46</f>
        <v>0.11357469484819109</v>
      </c>
      <c r="I4" s="77">
        <f>'3 Financial statements'!L37/'3 Financial statements'!L46</f>
        <v>0.12197783873874647</v>
      </c>
      <c r="J4" s="77">
        <f>'3 Financial statements'!M37/'3 Financial statements'!M46</f>
        <v>0.17530268991006323</v>
      </c>
      <c r="K4" s="77">
        <f>'3 Financial statements'!N37/'3 Financial statements'!N46</f>
        <v>0.16007095420398409</v>
      </c>
      <c r="L4" s="77">
        <f>'3 Financial statements'!O37/'3 Financial statements'!O46</f>
        <v>0.14425301162114237</v>
      </c>
      <c r="M4" s="77">
        <f>'3 Financial statements'!P37/'3 Financial statements'!P46</f>
        <v>0.13131488893168899</v>
      </c>
      <c r="N4" s="77">
        <f>'3 Financial statements'!Q37/'3 Financial statements'!Q46</f>
        <v>0.12064619114984522</v>
      </c>
      <c r="O4" s="77">
        <f>'3 Financial statements'!R37/'3 Financial statements'!R46</f>
        <v>0.1117563736861016</v>
      </c>
      <c r="P4" s="77">
        <f>'3 Financial statements'!S37/'3 Financial statements'!S46</f>
        <v>0.10426648681442001</v>
      </c>
    </row>
    <row r="5" spans="1:16" x14ac:dyDescent="0.25">
      <c r="A5" t="s">
        <v>114</v>
      </c>
      <c r="B5" s="77">
        <f>'3 Financial statements'!E32/'3 Financial statements'!E56</f>
        <v>2.6919814821359155E-2</v>
      </c>
      <c r="C5" s="77">
        <f>'3 Financial statements'!F32/'3 Financial statements'!F56</f>
        <v>8.0099554514462587E-2</v>
      </c>
      <c r="D5" s="77">
        <f>'3 Financial statements'!G32/'3 Financial statements'!G56</f>
        <v>0.12927259710637165</v>
      </c>
      <c r="E5" s="77">
        <f>'3 Financial statements'!H32/'3 Financial statements'!H56</f>
        <v>0.14410178139893309</v>
      </c>
      <c r="F5" s="77">
        <f>'3 Financial statements'!I32/'3 Financial statements'!I56</f>
        <v>0.13760723903619179</v>
      </c>
      <c r="G5" s="77">
        <f>'3 Financial statements'!J32/'3 Financial statements'!J56</f>
        <v>0.15006311738682013</v>
      </c>
      <c r="H5" s="77">
        <f>'3 Financial statements'!K32/'3 Financial statements'!K56</f>
        <v>0.16014903989832671</v>
      </c>
      <c r="I5" s="77">
        <f>'3 Financial statements'!L32/'3 Financial statements'!L56</f>
        <v>0.17164546299625247</v>
      </c>
      <c r="J5" s="77">
        <f>'3 Financial statements'!M32/'3 Financial statements'!M56</f>
        <v>0.24445299825143363</v>
      </c>
      <c r="K5" s="77">
        <f>'3 Financial statements'!N32/'3 Financial statements'!N56</f>
        <v>0.22314127355358235</v>
      </c>
      <c r="L5" s="77">
        <f>'3 Financial statements'!O32/'3 Financial statements'!O56</f>
        <v>0.20105307137373649</v>
      </c>
      <c r="M5" s="77">
        <f>'3 Financial statements'!P32/'3 Financial statements'!P56</f>
        <v>0.18299095787909811</v>
      </c>
      <c r="N5" s="77">
        <f>'3 Financial statements'!Q32/'3 Financial statements'!Q56</f>
        <v>0.1680995503034298</v>
      </c>
      <c r="O5" s="77">
        <f>'3 Financial statements'!R32/'3 Financial statements'!R56</f>
        <v>0.15569252763736369</v>
      </c>
      <c r="P5" s="77">
        <f>'3 Financial statements'!S32/'3 Financial statements'!S56</f>
        <v>0.14524016708656054</v>
      </c>
    </row>
    <row r="8" spans="1:16" x14ac:dyDescent="0.25">
      <c r="A8" t="s">
        <v>190</v>
      </c>
      <c r="B8" s="25">
        <f>'3 Financial statements'!E26/'3 Financial statements'!E24</f>
        <v>0.61744782220827987</v>
      </c>
      <c r="C8" s="25">
        <f>'3 Financial statements'!F26/'3 Financial statements'!F24</f>
        <v>0.59348271598665381</v>
      </c>
      <c r="D8" s="25">
        <f>'3 Financial statements'!G26/'3 Financial statements'!G24</f>
        <v>0.62600022840610603</v>
      </c>
      <c r="E8" s="25">
        <f>'3 Financial statements'!H26/'3 Financial statements'!H24</f>
        <v>0.62587026928291922</v>
      </c>
      <c r="F8" s="25">
        <f>'3 Financial statements'!I26/'3 Financial statements'!I24</f>
        <v>0.61988963468017932</v>
      </c>
      <c r="G8" s="25">
        <f>'3 Financial statements'!J26/'3 Financial statements'!J24</f>
        <v>0.63000000000000012</v>
      </c>
      <c r="H8" s="25">
        <f>'3 Financial statements'!K26/'3 Financial statements'!K24</f>
        <v>0.63</v>
      </c>
      <c r="I8" s="25">
        <f>'3 Financial statements'!L26/'3 Financial statements'!L24</f>
        <v>0.64</v>
      </c>
      <c r="J8" s="25">
        <f>'3 Financial statements'!M26/'3 Financial statements'!M24</f>
        <v>0.64</v>
      </c>
      <c r="K8" s="25">
        <f>'3 Financial statements'!N26/'3 Financial statements'!N24</f>
        <v>0.65</v>
      </c>
      <c r="L8" s="25">
        <f>'3 Financial statements'!O26/'3 Financial statements'!O24</f>
        <v>0.65</v>
      </c>
      <c r="M8" s="25">
        <f>'3 Financial statements'!P26/'3 Financial statements'!P24</f>
        <v>0.65</v>
      </c>
      <c r="N8" s="25">
        <f>'3 Financial statements'!Q26/'3 Financial statements'!Q24</f>
        <v>0.65</v>
      </c>
      <c r="O8" s="25">
        <f>'3 Financial statements'!R26/'3 Financial statements'!R24</f>
        <v>0.65</v>
      </c>
      <c r="P8" s="25">
        <f>'3 Financial statements'!S26/'3 Financial statements'!S24</f>
        <v>0.65</v>
      </c>
    </row>
    <row r="9" spans="1:16" x14ac:dyDescent="0.25">
      <c r="A9" t="s">
        <v>191</v>
      </c>
      <c r="B9" s="25">
        <f>'3 Financial statements'!E37/'3 Financial statements'!E24</f>
        <v>2.4253237522915094E-2</v>
      </c>
      <c r="C9" s="25">
        <f>'3 Financial statements'!F37/'3 Financial statements'!F24</f>
        <v>9.9850956082854866E-2</v>
      </c>
      <c r="D9" s="25">
        <f>'3 Financial statements'!G37/'3 Financial statements'!G24</f>
        <v>0.16045528950473942</v>
      </c>
      <c r="E9" s="25">
        <f>'3 Financial statements'!H37/'3 Financial statements'!H24</f>
        <v>0.1876690482714046</v>
      </c>
      <c r="F9" s="25">
        <f>'3 Financial statements'!I37/'3 Financial statements'!I24</f>
        <v>0.18721645928952324</v>
      </c>
      <c r="G9" s="25">
        <f>'3 Financial statements'!J37/'3 Financial statements'!J24</f>
        <v>0.22206568707338617</v>
      </c>
      <c r="H9" s="25">
        <f>'3 Financial statements'!K37/'3 Financial statements'!K24</f>
        <v>0.25685205365018704</v>
      </c>
      <c r="I9" s="25">
        <f>'3 Financial statements'!L37/'3 Financial statements'!L24</f>
        <v>0.28600560363499228</v>
      </c>
      <c r="J9" s="25">
        <f>'3 Financial statements'!M37/'3 Financial statements'!M24</f>
        <v>0.30276431420600713</v>
      </c>
      <c r="K9" s="25">
        <f>'3 Financial statements'!N37/'3 Financial statements'!N24</f>
        <v>0.31956673028285204</v>
      </c>
      <c r="L9" s="25">
        <f>'3 Financial statements'!O37/'3 Financial statements'!O24</f>
        <v>0.32690592518240558</v>
      </c>
      <c r="M9" s="25">
        <f>'3 Financial statements'!P37/'3 Financial statements'!P24</f>
        <v>0.33274857336445424</v>
      </c>
      <c r="N9" s="25">
        <f>'3 Financial statements'!Q37/'3 Financial statements'!Q24</f>
        <v>0.33767379465230796</v>
      </c>
      <c r="O9" s="25">
        <f>'3 Financial statements'!R37/'3 Financial statements'!R24</f>
        <v>0.34202027007237945</v>
      </c>
      <c r="P9" s="25">
        <f>'3 Financial statements'!S37/'3 Financial statements'!S24</f>
        <v>0.34598658048765468</v>
      </c>
    </row>
    <row r="10" spans="1:16" x14ac:dyDescent="0.25">
      <c r="A10" t="s">
        <v>189</v>
      </c>
      <c r="B10" s="215">
        <f>'3 Financial statements'!E37/'DCF model'!$G$42</f>
        <v>2.4740000000000002E-2</v>
      </c>
      <c r="C10" s="215">
        <f>'3 Financial statements'!F37/'DCF model'!$G$42</f>
        <v>0.11791</v>
      </c>
      <c r="D10" s="215">
        <f>'3 Financial statements'!G37/'DCF model'!$G$42</f>
        <v>0.21074999999999999</v>
      </c>
      <c r="E10" s="215">
        <f>'3 Financial statements'!H37/'DCF model'!$G$42</f>
        <v>0.26712999999999998</v>
      </c>
      <c r="F10" s="215">
        <f>'3 Financial statements'!I37/'DCF model'!$G$42</f>
        <v>0.28227000000000002</v>
      </c>
      <c r="G10" s="215">
        <f>'3 Financial statements'!J37/'DCF model'!$G$42</f>
        <v>0.35155352160000009</v>
      </c>
      <c r="H10" s="215">
        <f>'3 Financial statements'!K37/'DCF model'!$G$42</f>
        <v>0.42492210847199996</v>
      </c>
      <c r="I10" s="215">
        <f>'3 Financial statements'!L37/'DCF model'!$G$42</f>
        <v>0.49207824699263991</v>
      </c>
      <c r="J10" s="215">
        <f>'3 Financial statements'!M37/'DCF model'!$G$42</f>
        <v>0.53914385480970228</v>
      </c>
      <c r="K10" s="215">
        <f>'3 Financial statements'!N37/'DCF model'!$G$42</f>
        <v>0.5861364885885787</v>
      </c>
      <c r="L10" s="215">
        <f>'3 Financial statements'!O37/'DCF model'!$G$42</f>
        <v>0.61758567809323239</v>
      </c>
      <c r="M10" s="215">
        <f>'3 Financial statements'!P37/'DCF model'!$G$42</f>
        <v>0.64748222534422717</v>
      </c>
      <c r="N10" s="215">
        <f>'3 Financial statements'!Q37/'DCF model'!$G$42</f>
        <v>0.67677799824947271</v>
      </c>
      <c r="O10" s="215">
        <f>'3 Financial statements'!R37/'DCF model'!$G$42</f>
        <v>0.70605404188390819</v>
      </c>
      <c r="P10" s="215">
        <f>'3 Financial statements'!S37/'DCF model'!$G$42</f>
        <v>0.73566920535259628</v>
      </c>
    </row>
  </sheetData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938FCBA-FE20-43CE-9993-6DBEBFA8D22E}">
  <dimension ref="A1:J16"/>
  <sheetViews>
    <sheetView showGridLines="0" workbookViewId="0">
      <selection activeCell="E20" sqref="E20"/>
    </sheetView>
  </sheetViews>
  <sheetFormatPr baseColWidth="10" defaultRowHeight="15" x14ac:dyDescent="0.25"/>
  <cols>
    <col min="1" max="1" width="24.5703125" bestFit="1" customWidth="1"/>
  </cols>
  <sheetData>
    <row r="1" spans="1:10" x14ac:dyDescent="0.25">
      <c r="A1" s="270" t="s">
        <v>0</v>
      </c>
      <c r="B1" s="272"/>
      <c r="F1" s="270" t="s">
        <v>109</v>
      </c>
      <c r="G1" s="271"/>
      <c r="H1" s="271"/>
      <c r="I1" s="271"/>
      <c r="J1" s="272"/>
    </row>
    <row r="2" spans="1:10" x14ac:dyDescent="0.25">
      <c r="A2" s="41"/>
      <c r="B2" s="41"/>
      <c r="E2" s="76">
        <f>B16</f>
        <v>0.1085483193185794</v>
      </c>
      <c r="F2" s="95">
        <v>0.4</v>
      </c>
      <c r="G2" s="96">
        <v>0.5</v>
      </c>
      <c r="H2" s="96">
        <v>0.55000000000000004</v>
      </c>
      <c r="I2" s="96">
        <v>0.6</v>
      </c>
      <c r="J2" s="97">
        <v>0.65</v>
      </c>
    </row>
    <row r="3" spans="1:10" ht="15.75" thickBot="1" x14ac:dyDescent="0.3">
      <c r="A3" s="51" t="s">
        <v>88</v>
      </c>
      <c r="B3" s="224">
        <v>2.5000000000000001E-2</v>
      </c>
      <c r="D3" s="273" t="s">
        <v>110</v>
      </c>
      <c r="E3" s="91">
        <v>0.02</v>
      </c>
      <c r="F3" s="90">
        <f t="dataTable" ref="F3:J7" dt2D="1" dtr="1" r1="B15" r2="B8" ca="1"/>
        <v>0.11196577840375053</v>
      </c>
      <c r="G3" s="90">
        <v>0.11340577840375053</v>
      </c>
      <c r="H3" s="90">
        <v>0.11412577840375053</v>
      </c>
      <c r="I3" s="90">
        <v>0.11484577840375053</v>
      </c>
      <c r="J3" s="87">
        <v>0.11556577840375054</v>
      </c>
    </row>
    <row r="4" spans="1:10" ht="15" customHeight="1" thickBot="1" x14ac:dyDescent="0.3">
      <c r="A4" s="51" t="s">
        <v>77</v>
      </c>
      <c r="B4" s="225">
        <v>0.1003</v>
      </c>
      <c r="D4" s="274"/>
      <c r="E4" s="92">
        <v>2.5000000000000001E-2</v>
      </c>
      <c r="F4" s="90">
        <v>0.11340577840375053</v>
      </c>
      <c r="G4" s="79">
        <v>0.11520577840375053</v>
      </c>
      <c r="H4" s="80">
        <v>0.11610577840375054</v>
      </c>
      <c r="I4" s="81">
        <v>0.11700577840375054</v>
      </c>
      <c r="J4" s="87">
        <v>0.11790577840375054</v>
      </c>
    </row>
    <row r="5" spans="1:10" ht="16.5" thickTop="1" thickBot="1" x14ac:dyDescent="0.3">
      <c r="A5" s="51" t="s">
        <v>78</v>
      </c>
      <c r="B5" s="226">
        <f>B4-B3</f>
        <v>7.5300000000000006E-2</v>
      </c>
      <c r="D5" s="274"/>
      <c r="E5" s="93">
        <v>0.03</v>
      </c>
      <c r="F5" s="90">
        <v>0.11484577840375053</v>
      </c>
      <c r="G5" s="82">
        <v>0.11700577840375054</v>
      </c>
      <c r="H5" s="78">
        <v>0.11808577840375054</v>
      </c>
      <c r="I5" s="83">
        <v>0.11916577840375053</v>
      </c>
      <c r="J5" s="87">
        <v>0.12024577840375053</v>
      </c>
    </row>
    <row r="6" spans="1:10" ht="16.5" thickTop="1" thickBot="1" x14ac:dyDescent="0.3">
      <c r="A6" s="52" t="s">
        <v>79</v>
      </c>
      <c r="B6" s="227">
        <v>1.25</v>
      </c>
      <c r="D6" s="274"/>
      <c r="E6" s="92">
        <v>3.5000000000000003E-2</v>
      </c>
      <c r="F6" s="90">
        <v>0.11628577840375054</v>
      </c>
      <c r="G6" s="84">
        <v>0.11880577840375053</v>
      </c>
      <c r="H6" s="85">
        <v>0.12006577840375053</v>
      </c>
      <c r="I6" s="86">
        <v>0.12132577840375053</v>
      </c>
      <c r="J6" s="87">
        <v>0.12258577840375054</v>
      </c>
    </row>
    <row r="7" spans="1:10" x14ac:dyDescent="0.25">
      <c r="A7" s="53" t="s">
        <v>81</v>
      </c>
      <c r="B7" s="54">
        <f>B3+B6*B5</f>
        <v>0.11912500000000001</v>
      </c>
      <c r="D7" s="275"/>
      <c r="E7" s="94">
        <v>0.04</v>
      </c>
      <c r="F7" s="88">
        <v>0.11772577840375054</v>
      </c>
      <c r="G7" s="88">
        <v>0.12060577840375053</v>
      </c>
      <c r="H7" s="88">
        <v>0.12204577840375053</v>
      </c>
      <c r="I7" s="88">
        <v>0.12348577840375054</v>
      </c>
      <c r="J7" s="89">
        <v>0.12492577840375053</v>
      </c>
    </row>
    <row r="8" spans="1:10" x14ac:dyDescent="0.25">
      <c r="A8" s="51" t="s">
        <v>83</v>
      </c>
      <c r="B8" s="56">
        <f>'3 Financial statements'!J12</f>
        <v>0.03</v>
      </c>
    </row>
    <row r="9" spans="1:10" x14ac:dyDescent="0.25">
      <c r="A9" s="52" t="s">
        <v>89</v>
      </c>
      <c r="B9" s="57">
        <f>'3 Financial statements'!J13</f>
        <v>0.28000000000000003</v>
      </c>
    </row>
    <row r="10" spans="1:10" x14ac:dyDescent="0.25">
      <c r="A10" s="53" t="s">
        <v>86</v>
      </c>
      <c r="B10" s="55">
        <f>B8*(1-B9)</f>
        <v>2.1599999999999998E-2</v>
      </c>
      <c r="F10" s="270" t="s">
        <v>111</v>
      </c>
      <c r="G10" s="271"/>
      <c r="H10" s="271"/>
      <c r="I10" s="271"/>
      <c r="J10" s="272"/>
    </row>
    <row r="11" spans="1:10" x14ac:dyDescent="0.25">
      <c r="A11" s="53"/>
      <c r="B11" s="66"/>
      <c r="E11" s="76">
        <f>B16</f>
        <v>0.1085483193185794</v>
      </c>
      <c r="F11" s="95">
        <v>0.1</v>
      </c>
      <c r="G11" s="96">
        <v>0.11</v>
      </c>
      <c r="H11" s="96">
        <v>0.12</v>
      </c>
      <c r="I11" s="96">
        <v>0.13</v>
      </c>
      <c r="J11" s="97">
        <v>0.14000000000000001</v>
      </c>
    </row>
    <row r="12" spans="1:10" ht="15.75" thickBot="1" x14ac:dyDescent="0.3">
      <c r="D12" s="273" t="s">
        <v>110</v>
      </c>
      <c r="E12" s="91">
        <v>0.02</v>
      </c>
      <c r="F12" s="90">
        <f t="dataTable" ref="F12:J16" dt2D="1" dtr="1" r1="B7" r2="B8"/>
        <v>9.0716597115307829E-2</v>
      </c>
      <c r="G12" s="90">
        <v>9.9632087432516683E-2</v>
      </c>
      <c r="H12" s="90">
        <v>0.10854757774972554</v>
      </c>
      <c r="I12" s="90">
        <v>0.11746306806693441</v>
      </c>
      <c r="J12" s="87">
        <v>0.12637855838414327</v>
      </c>
    </row>
    <row r="13" spans="1:10" ht="15.75" thickBot="1" x14ac:dyDescent="0.3">
      <c r="A13" s="53" t="s">
        <v>104</v>
      </c>
      <c r="B13" s="66"/>
      <c r="D13" s="274"/>
      <c r="E13" s="92">
        <v>2.5000000000000001E-2</v>
      </c>
      <c r="F13" s="90">
        <v>9.1107020601112643E-2</v>
      </c>
      <c r="G13" s="79">
        <v>0.1000225109183215</v>
      </c>
      <c r="H13" s="80">
        <v>0.10893800123553035</v>
      </c>
      <c r="I13" s="81">
        <v>0.11785349155273922</v>
      </c>
      <c r="J13" s="87">
        <v>0.12676898186994809</v>
      </c>
    </row>
    <row r="14" spans="1:10" ht="16.5" thickTop="1" thickBot="1" x14ac:dyDescent="0.3">
      <c r="A14" s="51" t="s">
        <v>90</v>
      </c>
      <c r="B14" s="56">
        <f>'3 Financial statements'!J55/'3 Financial statements'!J56</f>
        <v>0.89154903172088584</v>
      </c>
      <c r="D14" s="274"/>
      <c r="E14" s="93">
        <v>0.03</v>
      </c>
      <c r="F14" s="90">
        <v>9.1497444086917457E-2</v>
      </c>
      <c r="G14" s="82">
        <v>0.10041293440412631</v>
      </c>
      <c r="H14" s="78">
        <v>0.10932842472133517</v>
      </c>
      <c r="I14" s="83">
        <v>0.11824391503854403</v>
      </c>
      <c r="J14" s="87">
        <v>0.1271594053557529</v>
      </c>
    </row>
    <row r="15" spans="1:10" ht="16.5" thickTop="1" thickBot="1" x14ac:dyDescent="0.3">
      <c r="A15" s="51" t="s">
        <v>91</v>
      </c>
      <c r="B15" s="56">
        <f>'3 Financial statements'!J51/'3 Financial statements'!J56</f>
        <v>0.10845096827911417</v>
      </c>
      <c r="D15" s="274"/>
      <c r="E15" s="92">
        <v>3.5000000000000003E-2</v>
      </c>
      <c r="F15" s="90">
        <v>9.188786757272227E-2</v>
      </c>
      <c r="G15" s="84">
        <v>0.10080335788993113</v>
      </c>
      <c r="H15" s="85">
        <v>0.10971884820713998</v>
      </c>
      <c r="I15" s="86">
        <v>0.11863433852434885</v>
      </c>
      <c r="J15" s="87">
        <v>0.12754982884155772</v>
      </c>
    </row>
    <row r="16" spans="1:10" x14ac:dyDescent="0.25">
      <c r="A16" s="67" t="s">
        <v>87</v>
      </c>
      <c r="B16" s="69">
        <f>B14*B7+B15*B10</f>
        <v>0.1085483193185794</v>
      </c>
      <c r="D16" s="275"/>
      <c r="E16" s="94">
        <v>0.04</v>
      </c>
      <c r="F16" s="88">
        <v>9.227829105852707E-2</v>
      </c>
      <c r="G16" s="88">
        <v>0.10119378137573593</v>
      </c>
      <c r="H16" s="88">
        <v>0.11010927169294478</v>
      </c>
      <c r="I16" s="88">
        <v>0.11902476201015365</v>
      </c>
      <c r="J16" s="89">
        <v>0.12794025232736253</v>
      </c>
    </row>
  </sheetData>
  <mergeCells count="5">
    <mergeCell ref="F1:J1"/>
    <mergeCell ref="D3:D7"/>
    <mergeCell ref="D12:D16"/>
    <mergeCell ref="F10:J10"/>
    <mergeCell ref="A1:B1"/>
  </mergeCells>
  <conditionalFormatting sqref="F3:J7">
    <cfRule type="colorScale" priority="3">
      <colorScale>
        <cfvo type="min"/>
        <cfvo type="max"/>
        <color rgb="FF63BE7B"/>
        <color rgb="FFFFEF9C"/>
      </colorScale>
    </cfRule>
    <cfRule type="colorScale" priority="4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F12:J16">
    <cfRule type="colorScale" priority="1">
      <colorScale>
        <cfvo type="min"/>
        <cfvo type="max"/>
        <color rgb="FF63BE7B"/>
        <color rgb="FFFFEF9C"/>
      </colorScale>
    </cfRule>
    <cfRule type="colorScale" priority="2">
      <colorScale>
        <cfvo type="min"/>
        <cfvo type="percentile" val="50"/>
        <cfvo type="max"/>
        <color rgb="FF63BE7B"/>
        <color rgb="FFFFEB84"/>
        <color rgb="FFF8696B"/>
      </colorScale>
    </cfRule>
  </conditionalFormatting>
  <pageMargins left="0.7" right="0.7" top="0.75" bottom="0.75" header="0.3" footer="0.3"/>
  <pageSetup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1B915E6-C193-4CD9-B2F7-AA59D2DF4566}">
  <dimension ref="A1:AI94"/>
  <sheetViews>
    <sheetView zoomScale="80" zoomScaleNormal="80" workbookViewId="0">
      <selection activeCell="J14" sqref="J14"/>
    </sheetView>
  </sheetViews>
  <sheetFormatPr baseColWidth="10" defaultRowHeight="15" x14ac:dyDescent="0.25"/>
  <cols>
    <col min="1" max="1" width="35.85546875" customWidth="1"/>
    <col min="4" max="5" width="10.85546875" customWidth="1"/>
    <col min="16" max="16" width="11.42578125" customWidth="1"/>
    <col min="20" max="20" width="10.85546875" customWidth="1"/>
    <col min="21" max="21" width="3.7109375" customWidth="1"/>
    <col min="29" max="29" width="3.5703125" customWidth="1"/>
  </cols>
  <sheetData>
    <row r="1" spans="1:13" x14ac:dyDescent="0.25">
      <c r="A1" s="282" t="s">
        <v>75</v>
      </c>
      <c r="B1" s="282"/>
      <c r="C1" s="282"/>
      <c r="D1" s="282"/>
      <c r="E1" s="282"/>
      <c r="F1" s="282"/>
      <c r="G1" s="282"/>
      <c r="H1" s="282"/>
      <c r="I1" s="282"/>
      <c r="J1" s="282"/>
      <c r="K1" s="282"/>
      <c r="L1" s="282"/>
      <c r="M1" s="282"/>
    </row>
    <row r="2" spans="1:13" x14ac:dyDescent="0.25">
      <c r="A2" s="42"/>
      <c r="B2" s="42"/>
      <c r="C2" s="42"/>
      <c r="D2" s="43"/>
      <c r="E2" s="148"/>
      <c r="F2" s="148"/>
      <c r="G2" s="148"/>
      <c r="H2" s="148"/>
      <c r="I2" s="148"/>
      <c r="J2" s="148"/>
      <c r="K2" s="148"/>
      <c r="L2" s="148"/>
      <c r="M2" s="148"/>
    </row>
    <row r="3" spans="1:13" ht="15.75" thickBot="1" x14ac:dyDescent="0.3">
      <c r="A3" s="45" t="s">
        <v>76</v>
      </c>
      <c r="B3" s="50">
        <f>'3 Financial statements'!I2</f>
        <v>2018</v>
      </c>
      <c r="C3" s="48">
        <f t="shared" ref="C3:L3" si="0">C20</f>
        <v>2019</v>
      </c>
      <c r="D3" s="48">
        <f t="shared" si="0"/>
        <v>2020</v>
      </c>
      <c r="E3" s="48">
        <f t="shared" si="0"/>
        <v>2021</v>
      </c>
      <c r="F3" s="48">
        <f t="shared" si="0"/>
        <v>2022</v>
      </c>
      <c r="G3" s="48">
        <f t="shared" si="0"/>
        <v>2023</v>
      </c>
      <c r="H3" s="48">
        <f t="shared" si="0"/>
        <v>2024</v>
      </c>
      <c r="I3" s="48">
        <f t="shared" si="0"/>
        <v>2025</v>
      </c>
      <c r="J3" s="48">
        <f t="shared" si="0"/>
        <v>2026</v>
      </c>
      <c r="K3" s="48">
        <f t="shared" si="0"/>
        <v>2027</v>
      </c>
      <c r="L3" s="48">
        <f t="shared" si="0"/>
        <v>2028</v>
      </c>
      <c r="M3" s="49">
        <f>'3 Financial statements'!T2</f>
        <v>2029</v>
      </c>
    </row>
    <row r="4" spans="1:13" x14ac:dyDescent="0.25">
      <c r="A4" s="149" t="s">
        <v>15</v>
      </c>
      <c r="B4" s="150">
        <f>'3 Financial statements'!I24</f>
        <v>150772</v>
      </c>
      <c r="C4" s="150">
        <f>'3 Financial statements'!J24</f>
        <v>158310.6</v>
      </c>
      <c r="D4" s="150">
        <f>'3 Financial statements'!K24</f>
        <v>165434.57699999999</v>
      </c>
      <c r="E4" s="150">
        <f>'3 Financial statements'!L24</f>
        <v>172051.96007999999</v>
      </c>
      <c r="F4" s="150">
        <f>'3 Financial statements'!M24</f>
        <v>178073.77868279998</v>
      </c>
      <c r="G4" s="150">
        <f>'3 Financial statements'!N24</f>
        <v>183415.99204328397</v>
      </c>
      <c r="H4" s="150">
        <f>'3 Financial statements'!O24</f>
        <v>188918.47180458248</v>
      </c>
      <c r="I4" s="150">
        <f>'3 Financial statements'!P24</f>
        <v>194586.02595871995</v>
      </c>
      <c r="J4" s="150">
        <f>'3 Financial statements'!Q24</f>
        <v>200423.60673748155</v>
      </c>
      <c r="K4" s="150">
        <f>'3 Financial statements'!R24</f>
        <v>206436.314939606</v>
      </c>
      <c r="L4" s="150">
        <f>'3 Financial statements'!S24</f>
        <v>212629.4043877942</v>
      </c>
      <c r="M4" s="150">
        <f>'3 Financial statements'!T24</f>
        <v>219008.28651942805</v>
      </c>
    </row>
    <row r="5" spans="1:13" x14ac:dyDescent="0.25">
      <c r="A5" s="46" t="s">
        <v>103</v>
      </c>
      <c r="B5" s="47">
        <f>B4/'3 Financial statements'!H24-1</f>
        <v>5.9231001608812672E-2</v>
      </c>
      <c r="C5" s="47">
        <f t="shared" ref="C5:M5" si="1">C4/B4-1</f>
        <v>5.0000000000000044E-2</v>
      </c>
      <c r="D5" s="47">
        <f t="shared" si="1"/>
        <v>4.4999999999999929E-2</v>
      </c>
      <c r="E5" s="47">
        <f t="shared" si="1"/>
        <v>4.0000000000000036E-2</v>
      </c>
      <c r="F5" s="47">
        <f t="shared" si="1"/>
        <v>3.499999999999992E-2</v>
      </c>
      <c r="G5" s="47">
        <f t="shared" si="1"/>
        <v>3.0000000000000027E-2</v>
      </c>
      <c r="H5" s="47">
        <f t="shared" si="1"/>
        <v>3.0000000000000027E-2</v>
      </c>
      <c r="I5" s="47">
        <f t="shared" si="1"/>
        <v>3.0000000000000027E-2</v>
      </c>
      <c r="J5" s="47">
        <f t="shared" si="1"/>
        <v>3.0000000000000027E-2</v>
      </c>
      <c r="K5" s="47">
        <f t="shared" si="1"/>
        <v>3.0000000000000027E-2</v>
      </c>
      <c r="L5" s="47">
        <f t="shared" si="1"/>
        <v>3.0000000000000027E-2</v>
      </c>
      <c r="M5" s="47">
        <f t="shared" si="1"/>
        <v>3.0000000000000027E-2</v>
      </c>
    </row>
    <row r="6" spans="1:13" x14ac:dyDescent="0.25">
      <c r="A6" s="149" t="s">
        <v>80</v>
      </c>
      <c r="B6" s="150">
        <f>'3 Financial statements'!I32+'3 Financial statements'!I30</f>
        <v>56805</v>
      </c>
      <c r="C6" s="150">
        <f>'3 Financial statements'!J32+'3 Financial statements'!J30</f>
        <v>64735.678000000014</v>
      </c>
      <c r="D6" s="150">
        <f>'3 Financial statements'!K32+'3 Financial statements'!K30</f>
        <v>69223.783509999994</v>
      </c>
      <c r="E6" s="150">
        <f>'3 Financial statements'!L32+'3 Financial statements'!L30</f>
        <v>75113.254451199988</v>
      </c>
      <c r="F6" s="150">
        <f>'3 Financial statements'!M32+'3 Financial statements'!M30</f>
        <v>78967.218356991987</v>
      </c>
      <c r="G6" s="150">
        <f>'3 Financial statements'!N32+'3 Financial statements'!N30</f>
        <v>84220.394828134595</v>
      </c>
      <c r="H6" s="150">
        <f>'3 Financial statements'!O32+'3 Financial statements'!O30</f>
        <v>87797.006672978619</v>
      </c>
      <c r="I6" s="150">
        <f>'3 Financial statements'!P32+'3 Financial statements'!P30</f>
        <v>91480.916873167967</v>
      </c>
      <c r="J6" s="150">
        <f>'3 Financial statements'!Q32+'3 Financial statements'!Q30</f>
        <v>95275.344379363014</v>
      </c>
      <c r="K6" s="150">
        <f>'3 Financial statements'!R32+'3 Financial statements'!R30</f>
        <v>99183.604710743908</v>
      </c>
      <c r="L6" s="150">
        <f>'3 Financial statements'!S32+'3 Financial statements'!S30</f>
        <v>103209.11285206623</v>
      </c>
      <c r="M6" s="150">
        <f>'3 Financial statements'!T32+'3 Financial statements'!T30</f>
        <v>107355.38623762823</v>
      </c>
    </row>
    <row r="7" spans="1:13" x14ac:dyDescent="0.25">
      <c r="A7" s="46" t="s">
        <v>82</v>
      </c>
      <c r="B7" s="47">
        <f>(B6/('3 Financial statements'!H32+'3 Financial statements'!H30))-1</f>
        <v>3.1599019340779133E-2</v>
      </c>
      <c r="C7" s="47">
        <f t="shared" ref="C7:M7" si="2">C6/B6-1</f>
        <v>0.13961232285890346</v>
      </c>
      <c r="D7" s="47">
        <f t="shared" si="2"/>
        <v>6.9329705792221308E-2</v>
      </c>
      <c r="E7" s="47">
        <f t="shared" si="2"/>
        <v>8.5078720673353647E-2</v>
      </c>
      <c r="F7" s="47">
        <f t="shared" si="2"/>
        <v>5.130870621903183E-2</v>
      </c>
      <c r="G7" s="47">
        <f t="shared" si="2"/>
        <v>6.652350912747429E-2</v>
      </c>
      <c r="H7" s="47">
        <f t="shared" si="2"/>
        <v>4.2467288976057116E-2</v>
      </c>
      <c r="I7" s="47">
        <f t="shared" si="2"/>
        <v>4.1959405448877884E-2</v>
      </c>
      <c r="J7" s="47">
        <f t="shared" si="2"/>
        <v>4.1477803632595345E-2</v>
      </c>
      <c r="K7" s="47">
        <f t="shared" si="2"/>
        <v>4.1020689632137897E-2</v>
      </c>
      <c r="L7" s="47">
        <f t="shared" si="2"/>
        <v>4.0586427092080379E-2</v>
      </c>
      <c r="M7" s="47">
        <f t="shared" si="2"/>
        <v>4.0173520254020767E-2</v>
      </c>
    </row>
    <row r="8" spans="1:13" x14ac:dyDescent="0.25">
      <c r="A8" s="46" t="s">
        <v>84</v>
      </c>
      <c r="B8" s="47">
        <f>'DCF model'!B6/'3 Financial statements'!I24</f>
        <v>0.37676093704401348</v>
      </c>
      <c r="C8" s="47">
        <f>'DCF model'!C6/'3 Financial statements'!J24</f>
        <v>0.40891562535926218</v>
      </c>
      <c r="D8" s="47">
        <f>'DCF model'!D6/'3 Financial statements'!K24</f>
        <v>0.41843600512848045</v>
      </c>
      <c r="E8" s="47">
        <f>'DCF model'!E6/'3 Financial statements'!L24</f>
        <v>0.4365730818543081</v>
      </c>
      <c r="F8" s="47">
        <f>'DCF model'!F6/'3 Financial statements'!M24</f>
        <v>0.44345225299933155</v>
      </c>
      <c r="G8" s="47">
        <f>'DCF model'!G6/'3 Financial statements'!N24</f>
        <v>0.45917694465954523</v>
      </c>
      <c r="H8" s="47">
        <f>'DCF model'!H6/'3 Financial statements'!O24</f>
        <v>0.46473489772771376</v>
      </c>
      <c r="I8" s="47">
        <f>'DCF model'!I6/'3 Financial statements'!P24</f>
        <v>0.47013096866768322</v>
      </c>
      <c r="J8" s="47">
        <f>'DCF model'!J6/'3 Financial statements'!Q24</f>
        <v>0.47536987249289642</v>
      </c>
      <c r="K8" s="47">
        <f>'DCF model'!K6/'3 Financial statements'!R24</f>
        <v>0.4804561868863072</v>
      </c>
      <c r="L8" s="47">
        <f>'DCF model'!L6/'3 Financial statements'!S24</f>
        <v>0.48539435620029819</v>
      </c>
      <c r="M8" s="47">
        <f>'DCF model'!M6/'3 Financial statements'!T24</f>
        <v>0.4901886953400954</v>
      </c>
    </row>
    <row r="9" spans="1:13" x14ac:dyDescent="0.25">
      <c r="A9" s="149" t="s">
        <v>85</v>
      </c>
      <c r="B9" s="150">
        <f>'3 Financial statements'!I51</f>
        <v>35671</v>
      </c>
      <c r="C9" s="150">
        <f>'3 Financial statements'!J51</f>
        <v>35937.73181917808</v>
      </c>
      <c r="D9" s="150">
        <f>'3 Financial statements'!K51</f>
        <v>36204.929751041098</v>
      </c>
      <c r="E9" s="150">
        <f>'3 Financial statements'!L51</f>
        <v>16278.718104837259</v>
      </c>
      <c r="F9" s="150">
        <f>'3 Financial statements'!M51</f>
        <v>16498.473238506565</v>
      </c>
      <c r="G9" s="150">
        <f>'3 Financial statements'!N51</f>
        <v>16507.498895782268</v>
      </c>
      <c r="H9" s="150">
        <f>'3 Financial statements'!O51</f>
        <v>16702.723862655734</v>
      </c>
      <c r="I9" s="150">
        <f>'3 Financial statements'!P51</f>
        <v>16903.805578535408</v>
      </c>
      <c r="J9" s="150">
        <f>'3 Financial statements'!Q51</f>
        <v>17110.919745891468</v>
      </c>
      <c r="K9" s="150">
        <f>'3 Financial statements'!R51</f>
        <v>17324.247338268211</v>
      </c>
      <c r="L9" s="150">
        <f>'3 Financial statements'!S51</f>
        <v>17543.974758416261</v>
      </c>
      <c r="M9" s="150">
        <f>'3 Financial statements'!T51</f>
        <v>17770.294001168746</v>
      </c>
    </row>
    <row r="10" spans="1:13" x14ac:dyDescent="0.25">
      <c r="A10" s="146"/>
      <c r="B10" s="66"/>
      <c r="C10" s="42"/>
      <c r="D10" s="44"/>
      <c r="E10" s="42"/>
      <c r="F10" s="42"/>
      <c r="G10" s="42"/>
      <c r="H10" s="42"/>
      <c r="I10" s="43"/>
      <c r="J10" s="43"/>
      <c r="K10" s="43"/>
      <c r="L10" s="43"/>
      <c r="M10" s="43"/>
    </row>
    <row r="11" spans="1:13" x14ac:dyDescent="0.25">
      <c r="A11" s="146"/>
      <c r="B11" s="66"/>
      <c r="C11" s="42"/>
      <c r="D11" s="44"/>
      <c r="E11" s="42"/>
      <c r="F11" s="42"/>
      <c r="G11" s="42"/>
      <c r="H11" s="42"/>
      <c r="I11" s="43"/>
      <c r="J11" s="43"/>
      <c r="K11" s="43"/>
      <c r="L11" s="43"/>
      <c r="M11" s="43"/>
    </row>
    <row r="12" spans="1:13" x14ac:dyDescent="0.25">
      <c r="A12" s="146"/>
      <c r="B12" s="66"/>
      <c r="C12" s="42"/>
      <c r="D12" s="44"/>
      <c r="E12" s="42"/>
      <c r="F12" s="42"/>
      <c r="G12" s="42"/>
      <c r="H12" s="42"/>
      <c r="I12" s="43"/>
      <c r="J12" s="43"/>
      <c r="K12" s="43"/>
      <c r="L12" s="43"/>
      <c r="M12" s="43"/>
    </row>
    <row r="13" spans="1:13" x14ac:dyDescent="0.25">
      <c r="A13" s="145"/>
      <c r="B13" s="143"/>
      <c r="C13" s="42"/>
      <c r="D13" s="44"/>
      <c r="E13" s="42"/>
      <c r="F13" s="42"/>
      <c r="G13" s="42"/>
      <c r="H13" s="42"/>
      <c r="I13" s="42"/>
      <c r="J13" s="42"/>
      <c r="K13" s="42"/>
      <c r="L13" s="42"/>
      <c r="M13" s="42"/>
    </row>
    <row r="14" spans="1:13" x14ac:dyDescent="0.25">
      <c r="A14" s="145"/>
      <c r="B14" s="143"/>
      <c r="C14" s="42"/>
      <c r="D14" s="44"/>
      <c r="E14" s="42"/>
      <c r="F14" s="42"/>
      <c r="G14" s="42"/>
      <c r="H14" s="42"/>
      <c r="I14" s="42"/>
      <c r="J14" s="42"/>
      <c r="K14" s="42"/>
      <c r="L14" s="42"/>
      <c r="M14" s="42"/>
    </row>
    <row r="15" spans="1:13" x14ac:dyDescent="0.25">
      <c r="A15" s="147"/>
      <c r="B15" s="66"/>
      <c r="C15" s="42"/>
      <c r="D15" s="43"/>
      <c r="E15" s="42"/>
      <c r="F15" s="42"/>
      <c r="G15" s="42"/>
      <c r="H15" s="42"/>
      <c r="I15" s="42"/>
      <c r="J15" s="42"/>
      <c r="K15" s="42"/>
      <c r="L15" s="42"/>
      <c r="M15" s="42"/>
    </row>
    <row r="16" spans="1:13" x14ac:dyDescent="0.25">
      <c r="A16" s="145"/>
      <c r="B16" s="144"/>
      <c r="C16" s="42"/>
      <c r="D16" s="44"/>
      <c r="E16" s="42"/>
      <c r="F16" s="42"/>
      <c r="G16" s="42"/>
      <c r="H16" s="42"/>
      <c r="I16" s="42"/>
      <c r="J16" s="42"/>
      <c r="K16" s="42"/>
      <c r="L16" s="42"/>
      <c r="M16" s="42"/>
    </row>
    <row r="18" spans="1:13" ht="21.75" thickBot="1" x14ac:dyDescent="0.4">
      <c r="A18" s="157" t="s">
        <v>182</v>
      </c>
      <c r="B18" s="33"/>
      <c r="C18" s="33"/>
      <c r="D18" s="33"/>
      <c r="E18" s="33"/>
      <c r="F18" s="33"/>
      <c r="G18" s="33"/>
      <c r="H18" s="33"/>
      <c r="I18" s="33"/>
      <c r="J18" s="33"/>
      <c r="K18" s="33"/>
      <c r="L18" s="33"/>
      <c r="M18" s="34"/>
    </row>
    <row r="19" spans="1:13" ht="3.6" customHeight="1" x14ac:dyDescent="0.25">
      <c r="A19" s="34"/>
      <c r="B19" s="34"/>
      <c r="C19" s="34"/>
      <c r="D19" s="34"/>
      <c r="E19" s="34"/>
      <c r="F19" s="34"/>
      <c r="G19" s="34"/>
      <c r="H19" s="34"/>
      <c r="I19" s="34"/>
      <c r="J19" s="34"/>
      <c r="K19" s="34"/>
      <c r="L19" s="34"/>
      <c r="M19" s="34"/>
    </row>
    <row r="20" spans="1:13" x14ac:dyDescent="0.25">
      <c r="C20" s="101">
        <f>'3 Financial statements'!J2</f>
        <v>2019</v>
      </c>
      <c r="D20" s="102">
        <f>'3 Financial statements'!K2</f>
        <v>2020</v>
      </c>
      <c r="E20" s="102">
        <f>'3 Financial statements'!L2</f>
        <v>2021</v>
      </c>
      <c r="F20" s="102">
        <f>'3 Financial statements'!M2</f>
        <v>2022</v>
      </c>
      <c r="G20" s="102">
        <f>'3 Financial statements'!N2</f>
        <v>2023</v>
      </c>
      <c r="H20" s="102">
        <f>'3 Financial statements'!O2</f>
        <v>2024</v>
      </c>
      <c r="I20" s="102">
        <f>'3 Financial statements'!P2</f>
        <v>2025</v>
      </c>
      <c r="J20" s="102">
        <f>'3 Financial statements'!Q2</f>
        <v>2026</v>
      </c>
      <c r="K20" s="102">
        <f>'3 Financial statements'!R2</f>
        <v>2027</v>
      </c>
      <c r="L20" s="103">
        <f>'3 Financial statements'!S2</f>
        <v>2028</v>
      </c>
    </row>
    <row r="21" spans="1:13" x14ac:dyDescent="0.25">
      <c r="C21" s="104">
        <f>'3 Financial statements'!J3</f>
        <v>1</v>
      </c>
      <c r="D21" s="105">
        <f>'3 Financial statements'!K3</f>
        <v>2</v>
      </c>
      <c r="E21" s="105">
        <f>'3 Financial statements'!L3</f>
        <v>3</v>
      </c>
      <c r="F21" s="105">
        <f>'3 Financial statements'!M3</f>
        <v>4</v>
      </c>
      <c r="G21" s="105">
        <f>'3 Financial statements'!N3</f>
        <v>5</v>
      </c>
      <c r="H21" s="105">
        <f>'3 Financial statements'!O3</f>
        <v>6</v>
      </c>
      <c r="I21" s="105">
        <f>'3 Financial statements'!P3</f>
        <v>7</v>
      </c>
      <c r="J21" s="105">
        <f>'3 Financial statements'!Q3</f>
        <v>8</v>
      </c>
      <c r="K21" s="105">
        <f>'3 Financial statements'!R3</f>
        <v>9</v>
      </c>
      <c r="L21" s="106">
        <f>'3 Financial statements'!S3</f>
        <v>10</v>
      </c>
    </row>
    <row r="22" spans="1:13" x14ac:dyDescent="0.25">
      <c r="A22" t="s">
        <v>70</v>
      </c>
      <c r="C22" s="4">
        <f>'3 Financial statements'!J32*(1-'3 Financial statements'!J13)</f>
        <v>35803.352160000009</v>
      </c>
      <c r="D22" s="4">
        <f>'3 Financial statements'!K32*(1-'3 Financial statements'!K13)</f>
        <v>43140.210847199996</v>
      </c>
      <c r="E22" s="4">
        <f>'3 Financial statements'!L32*(1-'3 Financial statements'!L13)</f>
        <v>49855.824699263991</v>
      </c>
      <c r="F22" s="4">
        <f>'3 Financial statements'!M32*(1-'3 Financial statements'!M13)</f>
        <v>54130.385480970232</v>
      </c>
      <c r="G22" s="4">
        <f>'3 Financial statements'!N32*(1-'3 Financial statements'!N13)</f>
        <v>58829.648858857872</v>
      </c>
      <c r="H22" s="4">
        <f>'3 Financial statements'!O32*(1-'3 Financial statements'!O13)</f>
        <v>61974.567809323242</v>
      </c>
      <c r="I22" s="4">
        <f>'3 Financial statements'!P32*(1-'3 Financial statements'!P13)</f>
        <v>64964.222534422719</v>
      </c>
      <c r="J22" s="4">
        <f>'3 Financial statements'!Q32*(1-'3 Financial statements'!Q13)</f>
        <v>67893.799824947273</v>
      </c>
      <c r="K22" s="4">
        <f>'3 Financial statements'!R32*(1-'3 Financial statements'!R13)</f>
        <v>70821.404188390821</v>
      </c>
      <c r="L22" s="4">
        <f>'3 Financial statements'!S32*(1-'3 Financial statements'!S13)</f>
        <v>73782.920535259633</v>
      </c>
    </row>
    <row r="23" spans="1:13" x14ac:dyDescent="0.25">
      <c r="A23" t="s">
        <v>42</v>
      </c>
      <c r="C23" s="4">
        <f>'3 Financial statements'!J30</f>
        <v>15008.800000000001</v>
      </c>
      <c r="D23" s="4">
        <f>'3 Financial statements'!K30</f>
        <v>9306.8239999999987</v>
      </c>
      <c r="E23" s="4">
        <f>'3 Financial statements'!L30</f>
        <v>5869.0534799999987</v>
      </c>
      <c r="F23" s="4">
        <f>'3 Financial statements'!M30</f>
        <v>3786.1274111999992</v>
      </c>
      <c r="G23" s="4">
        <f>'3 Financial statements'!N30</f>
        <v>2512.5491908319996</v>
      </c>
      <c r="H23" s="4">
        <f>'3 Financial statements'!O30</f>
        <v>1721.2180489185594</v>
      </c>
      <c r="I23" s="4">
        <f>'3 Financial statements'!P30</f>
        <v>1252.8300198030761</v>
      </c>
      <c r="J23" s="4">
        <f>'3 Financial statements'!Q30</f>
        <v>978.40017804734441</v>
      </c>
      <c r="K23" s="4">
        <f>'3 Financial statements'!R30</f>
        <v>820.54333797887034</v>
      </c>
      <c r="L23" s="4">
        <f>'3 Financial statements'!S30</f>
        <v>732.8343308723006</v>
      </c>
    </row>
    <row r="24" spans="1:13" x14ac:dyDescent="0.25">
      <c r="A24" t="s">
        <v>71</v>
      </c>
      <c r="C24" s="4">
        <f>'3 Financial statements'!J18</f>
        <v>753.86000000000058</v>
      </c>
      <c r="D24" s="4">
        <f>'3 Financial statements'!K18</f>
        <v>712.39769999999851</v>
      </c>
      <c r="E24" s="4">
        <f>'3 Financial statements'!L18</f>
        <v>661.73830799999996</v>
      </c>
      <c r="F24" s="4">
        <f>'3 Financial statements'!M18</f>
        <v>602.18186027999911</v>
      </c>
      <c r="G24" s="4">
        <f>'3 Financial statements'!N18</f>
        <v>534.22133604839917</v>
      </c>
      <c r="H24" s="4">
        <f>'3 Financial statements'!O18</f>
        <v>550.24797612985128</v>
      </c>
      <c r="I24" s="4">
        <f>'3 Financial statements'!P18</f>
        <v>566.75541541374696</v>
      </c>
      <c r="J24" s="4">
        <f>'3 Financial statements'!Q18</f>
        <v>583.75807787615929</v>
      </c>
      <c r="K24" s="4">
        <f>'3 Financial statements'!R18</f>
        <v>601.27082021244576</v>
      </c>
      <c r="L24" s="4">
        <f>'3 Financial statements'!S18</f>
        <v>619.3089448188199</v>
      </c>
    </row>
    <row r="25" spans="1:13" x14ac:dyDescent="0.25">
      <c r="A25" t="s">
        <v>72</v>
      </c>
      <c r="C25" s="4">
        <f>'3 Financial statements'!J90</f>
        <v>374.35066301369807</v>
      </c>
      <c r="D25" s="4">
        <f>'3 Financial statements'!K90</f>
        <v>611.2957798356183</v>
      </c>
      <c r="E25" s="4">
        <f>'3 Financial statements'!L90</f>
        <v>398.13077379945025</v>
      </c>
      <c r="F25" s="4">
        <f>'3 Financial statements'!M90</f>
        <v>510.7822025827063</v>
      </c>
      <c r="G25" s="4">
        <f>'3 Financial statements'!N90</f>
        <v>272.23333836986603</v>
      </c>
      <c r="H25" s="4">
        <f>'3 Financial statements'!O90</f>
        <v>461.30378272804592</v>
      </c>
      <c r="I25" s="4">
        <f>'3 Financial statements'!P90</f>
        <v>475.1428962098762</v>
      </c>
      <c r="J25" s="4">
        <f>'3 Financial statements'!Q90</f>
        <v>489.3971830961782</v>
      </c>
      <c r="K25" s="4">
        <f>'3 Financial statements'!R90</f>
        <v>504.07909858906351</v>
      </c>
      <c r="L25" s="4">
        <f>'3 Financial statements'!S90</f>
        <v>519.20147154673396</v>
      </c>
    </row>
    <row r="26" spans="1:13" x14ac:dyDescent="0.25">
      <c r="A26" s="98" t="s">
        <v>74</v>
      </c>
      <c r="B26" s="138"/>
      <c r="C26" s="99">
        <f>C22+C23-C24-C25</f>
        <v>49683.941496986314</v>
      </c>
      <c r="D26" s="99">
        <f t="shared" ref="D26:L26" si="3">D22+D23-D24-D25</f>
        <v>51123.341367364381</v>
      </c>
      <c r="E26" s="99">
        <f t="shared" si="3"/>
        <v>54665.009097464543</v>
      </c>
      <c r="F26" s="99">
        <f t="shared" si="3"/>
        <v>56803.548829307525</v>
      </c>
      <c r="G26" s="99">
        <f t="shared" si="3"/>
        <v>60535.743375271602</v>
      </c>
      <c r="H26" s="99">
        <f t="shared" si="3"/>
        <v>62684.234099383903</v>
      </c>
      <c r="I26" s="99">
        <f t="shared" si="3"/>
        <v>65175.154242602177</v>
      </c>
      <c r="J26" s="99">
        <f t="shared" si="3"/>
        <v>67799.044742022277</v>
      </c>
      <c r="K26" s="99">
        <f t="shared" si="3"/>
        <v>70536.597607568183</v>
      </c>
      <c r="L26" s="100">
        <f t="shared" si="3"/>
        <v>73377.244449766367</v>
      </c>
    </row>
    <row r="27" spans="1:13" x14ac:dyDescent="0.25">
      <c r="A27" t="s">
        <v>87</v>
      </c>
      <c r="C27" s="25">
        <f>$L$35</f>
        <v>0.1085483193185794</v>
      </c>
      <c r="D27" s="25">
        <f t="shared" ref="D27:L27" si="4">$L$35</f>
        <v>0.1085483193185794</v>
      </c>
      <c r="E27" s="25">
        <f t="shared" si="4"/>
        <v>0.1085483193185794</v>
      </c>
      <c r="F27" s="25">
        <f t="shared" si="4"/>
        <v>0.1085483193185794</v>
      </c>
      <c r="G27" s="25">
        <f t="shared" si="4"/>
        <v>0.1085483193185794</v>
      </c>
      <c r="H27" s="25">
        <f t="shared" si="4"/>
        <v>0.1085483193185794</v>
      </c>
      <c r="I27" s="25">
        <f t="shared" si="4"/>
        <v>0.1085483193185794</v>
      </c>
      <c r="J27" s="25">
        <f t="shared" si="4"/>
        <v>0.1085483193185794</v>
      </c>
      <c r="K27" s="25">
        <f t="shared" si="4"/>
        <v>0.1085483193185794</v>
      </c>
      <c r="L27" s="25">
        <f t="shared" si="4"/>
        <v>0.1085483193185794</v>
      </c>
    </row>
    <row r="28" spans="1:13" x14ac:dyDescent="0.25">
      <c r="A28" t="s">
        <v>165</v>
      </c>
      <c r="C28" s="20">
        <f>(1+C27)^-C21</f>
        <v>0.90208066042145674</v>
      </c>
      <c r="D28" s="20">
        <f t="shared" ref="D28:L28" si="5">(1+D27)^-D21</f>
        <v>0.81374951790641148</v>
      </c>
      <c r="E28" s="20">
        <f t="shared" si="5"/>
        <v>0.73406770253065767</v>
      </c>
      <c r="F28" s="20">
        <f t="shared" si="5"/>
        <v>0.66218827789291712</v>
      </c>
      <c r="G28" s="20">
        <f t="shared" si="5"/>
        <v>0.59734723904498976</v>
      </c>
      <c r="H28" s="20">
        <f t="shared" si="5"/>
        <v>0.53885539189863818</v>
      </c>
      <c r="I28" s="20">
        <f t="shared" si="5"/>
        <v>0.48609102779558638</v>
      </c>
      <c r="J28" s="20">
        <f t="shared" si="5"/>
        <v>0.43849331537878727</v>
      </c>
      <c r="K28" s="20">
        <f t="shared" si="5"/>
        <v>0.39555633952729052</v>
      </c>
      <c r="L28" s="20">
        <f t="shared" si="5"/>
        <v>0.35682372399467222</v>
      </c>
    </row>
    <row r="29" spans="1:13" x14ac:dyDescent="0.25">
      <c r="A29" s="98" t="s">
        <v>92</v>
      </c>
      <c r="B29" s="138"/>
      <c r="C29" s="99">
        <f>C26*C28</f>
        <v>44818.922757942433</v>
      </c>
      <c r="D29" s="99">
        <f t="shared" ref="D29:L29" si="6">D26*D28</f>
        <v>41601.594391457671</v>
      </c>
      <c r="E29" s="99">
        <f t="shared" si="6"/>
        <v>40127.817636993299</v>
      </c>
      <c r="F29" s="99">
        <f t="shared" si="6"/>
        <v>37614.644177485381</v>
      </c>
      <c r="G29" s="99">
        <f t="shared" si="6"/>
        <v>36160.859168754519</v>
      </c>
      <c r="H29" s="99">
        <f t="shared" si="6"/>
        <v>33777.737531489489</v>
      </c>
      <c r="I29" s="99">
        <f t="shared" si="6"/>
        <v>31681.057712522364</v>
      </c>
      <c r="J29" s="99">
        <f t="shared" si="6"/>
        <v>29729.427908444082</v>
      </c>
      <c r="K29" s="99">
        <f t="shared" si="6"/>
        <v>27901.198352359108</v>
      </c>
      <c r="L29" s="100">
        <f t="shared" si="6"/>
        <v>26182.741621033027</v>
      </c>
    </row>
    <row r="30" spans="1:13" x14ac:dyDescent="0.25">
      <c r="B30" s="4"/>
      <c r="C30" s="4"/>
      <c r="D30" s="4"/>
      <c r="E30" s="4"/>
      <c r="F30" s="4"/>
      <c r="G30" s="4"/>
      <c r="H30" s="4"/>
      <c r="I30" s="4"/>
      <c r="J30" s="4"/>
      <c r="K30" s="4"/>
      <c r="L30" s="4"/>
    </row>
    <row r="31" spans="1:13" x14ac:dyDescent="0.25">
      <c r="G31" s="4"/>
      <c r="H31" s="4"/>
      <c r="I31" s="4"/>
      <c r="J31" s="4"/>
      <c r="K31" s="4"/>
      <c r="L31" s="4"/>
    </row>
    <row r="32" spans="1:13" x14ac:dyDescent="0.25">
      <c r="A32" s="281" t="s">
        <v>159</v>
      </c>
      <c r="B32" s="281"/>
      <c r="D32" s="281" t="s">
        <v>169</v>
      </c>
      <c r="E32" s="281"/>
      <c r="F32" s="281"/>
      <c r="G32" s="281"/>
      <c r="H32" s="4"/>
      <c r="I32" s="281" t="s">
        <v>177</v>
      </c>
      <c r="J32" s="281"/>
      <c r="K32" s="281"/>
      <c r="L32" s="281"/>
    </row>
    <row r="33" spans="1:12" ht="4.5" customHeight="1" thickBot="1" x14ac:dyDescent="0.3">
      <c r="A33" s="139"/>
      <c r="B33" s="139"/>
      <c r="D33" s="139"/>
      <c r="E33" s="139"/>
      <c r="F33" s="139"/>
      <c r="G33" s="139"/>
      <c r="H33" s="4"/>
      <c r="I33" s="139"/>
      <c r="J33" s="139"/>
      <c r="K33" s="139"/>
      <c r="L33" s="139"/>
    </row>
    <row r="34" spans="1:12" ht="15.75" thickTop="1" x14ac:dyDescent="0.25">
      <c r="A34" s="61" t="s">
        <v>160</v>
      </c>
      <c r="B34" s="60">
        <f>SUM(C29:L29)</f>
        <v>349596.00125848141</v>
      </c>
      <c r="D34" t="s">
        <v>170</v>
      </c>
      <c r="G34" s="4">
        <f>B44</f>
        <v>662629.41124199703</v>
      </c>
      <c r="H34" s="4"/>
      <c r="I34" s="10" t="s">
        <v>178</v>
      </c>
      <c r="J34" s="4"/>
      <c r="K34" s="4"/>
      <c r="L34" s="4">
        <f>L26</f>
        <v>73377.244449766367</v>
      </c>
    </row>
    <row r="35" spans="1:12" x14ac:dyDescent="0.25">
      <c r="A35" s="137" t="s">
        <v>167</v>
      </c>
      <c r="B35" s="154">
        <f>B34/B44</f>
        <v>0.52758901933317059</v>
      </c>
      <c r="D35" t="s">
        <v>171</v>
      </c>
      <c r="G35" s="140">
        <f>B9</f>
        <v>35671</v>
      </c>
      <c r="H35" s="4"/>
      <c r="I35" s="10" t="s">
        <v>87</v>
      </c>
      <c r="J35" s="4"/>
      <c r="K35" s="4"/>
      <c r="L35" s="25">
        <f>WACC!B16</f>
        <v>0.1085483193185794</v>
      </c>
    </row>
    <row r="36" spans="1:12" x14ac:dyDescent="0.25">
      <c r="A36" s="120" t="s">
        <v>161</v>
      </c>
      <c r="B36" s="108"/>
      <c r="D36" t="s">
        <v>172</v>
      </c>
      <c r="G36" s="229">
        <v>0</v>
      </c>
      <c r="H36" s="4"/>
      <c r="I36" s="10" t="s">
        <v>161</v>
      </c>
      <c r="J36" s="4"/>
      <c r="K36" s="4"/>
      <c r="L36" s="4">
        <f>B39</f>
        <v>877277.459242563</v>
      </c>
    </row>
    <row r="37" spans="1:12" x14ac:dyDescent="0.25">
      <c r="A37" t="s">
        <v>162</v>
      </c>
      <c r="B37" s="4">
        <f>L6</f>
        <v>103209.11285206623</v>
      </c>
      <c r="D37" t="s">
        <v>173</v>
      </c>
      <c r="G37" s="141">
        <f>'3 Financial statements'!I42</f>
        <v>239550</v>
      </c>
      <c r="H37" s="4"/>
      <c r="I37" s="10"/>
      <c r="J37" s="4"/>
      <c r="K37" s="4"/>
      <c r="L37" s="4"/>
    </row>
    <row r="38" spans="1:12" x14ac:dyDescent="0.25">
      <c r="A38" t="s">
        <v>163</v>
      </c>
      <c r="B38" s="228">
        <v>8.5</v>
      </c>
      <c r="G38" s="4"/>
      <c r="H38" s="2"/>
      <c r="I38" s="11" t="s">
        <v>177</v>
      </c>
      <c r="J38" s="2"/>
      <c r="K38" s="2"/>
      <c r="L38" s="156">
        <f>(L36*L35-L34)/(L36+L34)</f>
        <v>2.2983896510713371E-2</v>
      </c>
    </row>
    <row r="39" spans="1:12" x14ac:dyDescent="0.25">
      <c r="A39" s="61" t="s">
        <v>164</v>
      </c>
      <c r="B39" s="151">
        <f>B37*B38</f>
        <v>877277.459242563</v>
      </c>
      <c r="G39" s="3"/>
      <c r="I39" s="9"/>
      <c r="L39" s="3"/>
    </row>
    <row r="40" spans="1:12" x14ac:dyDescent="0.25">
      <c r="A40" t="s">
        <v>165</v>
      </c>
      <c r="B40" s="20">
        <f>L28</f>
        <v>0.35682372399467222</v>
      </c>
      <c r="D40" s="61" t="s">
        <v>174</v>
      </c>
      <c r="G40" s="153">
        <f>G34-G35-G36+G37</f>
        <v>866508.41124199703</v>
      </c>
      <c r="I40" s="281" t="s">
        <v>106</v>
      </c>
      <c r="J40" s="281"/>
      <c r="K40" s="281"/>
      <c r="L40" s="281"/>
    </row>
    <row r="41" spans="1:12" x14ac:dyDescent="0.25">
      <c r="A41" s="61" t="s">
        <v>166</v>
      </c>
      <c r="B41" s="152">
        <f>B39*B40</f>
        <v>313033.40998351562</v>
      </c>
      <c r="G41" s="3"/>
      <c r="I41" s="9" t="s">
        <v>170</v>
      </c>
      <c r="L41" s="4">
        <f>B44</f>
        <v>662629.41124199703</v>
      </c>
    </row>
    <row r="42" spans="1:12" x14ac:dyDescent="0.25">
      <c r="A42" s="137" t="s">
        <v>167</v>
      </c>
      <c r="B42" s="154">
        <f>B41/B44</f>
        <v>0.47241098066682941</v>
      </c>
      <c r="D42" t="s">
        <v>175</v>
      </c>
      <c r="G42" s="230">
        <v>100000</v>
      </c>
      <c r="I42" s="9" t="s">
        <v>179</v>
      </c>
      <c r="L42" s="64">
        <f>B6</f>
        <v>56805</v>
      </c>
    </row>
    <row r="43" spans="1:12" x14ac:dyDescent="0.25">
      <c r="B43" s="3"/>
      <c r="G43" s="3"/>
      <c r="I43" s="9"/>
      <c r="L43" s="3"/>
    </row>
    <row r="44" spans="1:12" x14ac:dyDescent="0.25">
      <c r="A44" s="61" t="s">
        <v>168</v>
      </c>
      <c r="B44" s="153">
        <f>B34+B41</f>
        <v>662629.41124199703</v>
      </c>
      <c r="D44" s="61" t="s">
        <v>180</v>
      </c>
      <c r="G44" s="155">
        <f>G40/G42</f>
        <v>8.6650841124199705</v>
      </c>
      <c r="I44" s="142" t="s">
        <v>106</v>
      </c>
      <c r="L44" s="155">
        <f>L41/L42</f>
        <v>11.664983914127225</v>
      </c>
    </row>
    <row r="47" spans="1:12" hidden="1" x14ac:dyDescent="0.25">
      <c r="B47" s="59" t="s">
        <v>181</v>
      </c>
      <c r="C47" s="60" t="s">
        <v>94</v>
      </c>
      <c r="D47" s="4"/>
      <c r="E47" s="280" t="s">
        <v>106</v>
      </c>
      <c r="F47" s="280"/>
      <c r="H47" s="74">
        <v>2.5000000000000001E-2</v>
      </c>
    </row>
    <row r="48" spans="1:12" hidden="1" x14ac:dyDescent="0.25">
      <c r="A48" s="61" t="s">
        <v>93</v>
      </c>
      <c r="B48" s="4">
        <f>(L26*(1+H47))/(L35-H47)</f>
        <v>900217.69647118461</v>
      </c>
      <c r="C48" s="4">
        <f>B48*L28</f>
        <v>321219.03086075356</v>
      </c>
      <c r="D48" s="4"/>
      <c r="E48" s="10" t="s">
        <v>80</v>
      </c>
      <c r="F48" s="4">
        <f>B6</f>
        <v>56805</v>
      </c>
    </row>
    <row r="49" spans="1:6" hidden="1" x14ac:dyDescent="0.25">
      <c r="B49" s="4"/>
      <c r="C49" s="4"/>
      <c r="D49" s="4"/>
      <c r="E49" s="10" t="s">
        <v>107</v>
      </c>
      <c r="F49" s="4">
        <f>B52</f>
        <v>670815.03211923502</v>
      </c>
    </row>
    <row r="50" spans="1:6" hidden="1" x14ac:dyDescent="0.25">
      <c r="A50" t="s">
        <v>92</v>
      </c>
      <c r="B50" s="4">
        <f>SUM(C29:L29)</f>
        <v>349596.00125848141</v>
      </c>
      <c r="C50" s="23">
        <f>B50/B52</f>
        <v>0.52115111397256519</v>
      </c>
      <c r="D50" s="4"/>
      <c r="E50" s="11" t="s">
        <v>108</v>
      </c>
      <c r="F50" s="71">
        <f>F49/F48</f>
        <v>11.809084272849837</v>
      </c>
    </row>
    <row r="51" spans="1:6" hidden="1" x14ac:dyDescent="0.25">
      <c r="A51" t="s">
        <v>95</v>
      </c>
      <c r="B51" s="4">
        <f>C48</f>
        <v>321219.03086075356</v>
      </c>
      <c r="C51" s="23">
        <f>B51/B52</f>
        <v>0.47884888602743475</v>
      </c>
      <c r="D51" s="4"/>
      <c r="E51" s="4"/>
      <c r="F51" s="4"/>
    </row>
    <row r="52" spans="1:6" ht="15.75" hidden="1" thickBot="1" x14ac:dyDescent="0.3">
      <c r="A52" s="62" t="s">
        <v>96</v>
      </c>
      <c r="B52" s="8">
        <f>SUM(B50:B51)</f>
        <v>670815.03211923502</v>
      </c>
      <c r="C52" s="63">
        <f>B52/B52</f>
        <v>1</v>
      </c>
      <c r="D52" s="4"/>
      <c r="E52" s="4"/>
      <c r="F52" s="4"/>
    </row>
    <row r="53" spans="1:6" hidden="1" x14ac:dyDescent="0.25">
      <c r="B53" s="2"/>
      <c r="C53" s="2"/>
      <c r="D53" s="2"/>
      <c r="E53" s="2"/>
      <c r="F53" s="2"/>
    </row>
    <row r="54" spans="1:6" hidden="1" x14ac:dyDescent="0.25"/>
    <row r="55" spans="1:6" hidden="1" x14ac:dyDescent="0.25">
      <c r="A55" s="279" t="s">
        <v>97</v>
      </c>
      <c r="B55" s="279"/>
      <c r="C55" s="279"/>
    </row>
    <row r="56" spans="1:6" hidden="1" x14ac:dyDescent="0.25">
      <c r="A56" t="str">
        <f>A52</f>
        <v>Valeur totale de la firme</v>
      </c>
      <c r="C56" s="4">
        <f>B52</f>
        <v>670815.03211923502</v>
      </c>
    </row>
    <row r="57" spans="1:6" hidden="1" x14ac:dyDescent="0.25">
      <c r="A57" t="s">
        <v>98</v>
      </c>
      <c r="C57" s="64">
        <f>B9</f>
        <v>35671</v>
      </c>
    </row>
    <row r="58" spans="1:6" hidden="1" x14ac:dyDescent="0.25">
      <c r="A58" t="s">
        <v>105</v>
      </c>
      <c r="C58" s="64"/>
    </row>
    <row r="59" spans="1:6" hidden="1" x14ac:dyDescent="0.25">
      <c r="A59" t="s">
        <v>99</v>
      </c>
      <c r="C59" s="4">
        <f>'3 Financial statements'!J78</f>
        <v>239550</v>
      </c>
    </row>
    <row r="60" spans="1:6" hidden="1" x14ac:dyDescent="0.25">
      <c r="A60" s="65" t="s">
        <v>100</v>
      </c>
      <c r="B60" s="61"/>
      <c r="C60" s="60">
        <f>C56-C57-C58+C59</f>
        <v>874694.03211923502</v>
      </c>
    </row>
    <row r="61" spans="1:6" hidden="1" x14ac:dyDescent="0.25">
      <c r="C61" s="3"/>
    </row>
    <row r="62" spans="1:6" hidden="1" x14ac:dyDescent="0.25">
      <c r="A62" t="s">
        <v>101</v>
      </c>
      <c r="C62" s="4">
        <v>100000</v>
      </c>
    </row>
    <row r="63" spans="1:6" hidden="1" x14ac:dyDescent="0.25">
      <c r="C63" s="3"/>
    </row>
    <row r="64" spans="1:6" hidden="1" x14ac:dyDescent="0.25">
      <c r="A64" s="67" t="s">
        <v>102</v>
      </c>
      <c r="B64" s="67"/>
      <c r="C64" s="68">
        <f>C60/C62</f>
        <v>8.7469403211923495</v>
      </c>
    </row>
    <row r="68" spans="21:35" x14ac:dyDescent="0.25">
      <c r="U68" s="270" t="s">
        <v>170</v>
      </c>
      <c r="V68" s="271"/>
      <c r="W68" s="271"/>
      <c r="X68" s="271"/>
      <c r="Y68" s="271"/>
      <c r="Z68" s="271"/>
      <c r="AA68" s="271"/>
      <c r="AC68" s="270" t="s">
        <v>177</v>
      </c>
      <c r="AD68" s="271"/>
      <c r="AE68" s="271"/>
      <c r="AF68" s="271"/>
      <c r="AG68" s="271"/>
      <c r="AH68" s="271"/>
      <c r="AI68" s="271"/>
    </row>
    <row r="69" spans="21:35" ht="3" customHeight="1" thickBot="1" x14ac:dyDescent="0.3">
      <c r="U69" s="159"/>
      <c r="V69" s="159"/>
      <c r="W69" s="159"/>
      <c r="X69" s="159"/>
      <c r="Y69" s="159"/>
      <c r="Z69" s="159"/>
      <c r="AA69" s="159"/>
      <c r="AC69" s="159"/>
      <c r="AD69" s="159"/>
      <c r="AE69" s="159"/>
      <c r="AF69" s="159"/>
      <c r="AG69" s="159"/>
      <c r="AH69" s="159"/>
      <c r="AI69" s="159"/>
    </row>
    <row r="70" spans="21:35" ht="3" customHeight="1" thickTop="1" x14ac:dyDescent="0.25"/>
    <row r="71" spans="21:35" x14ac:dyDescent="0.25">
      <c r="W71" s="270" t="s">
        <v>163</v>
      </c>
      <c r="X71" s="271"/>
      <c r="Y71" s="271"/>
      <c r="Z71" s="271"/>
      <c r="AA71" s="272"/>
      <c r="AE71" s="270" t="s">
        <v>163</v>
      </c>
      <c r="AF71" s="271"/>
      <c r="AG71" s="271"/>
      <c r="AH71" s="271"/>
      <c r="AI71" s="272"/>
    </row>
    <row r="72" spans="21:35" x14ac:dyDescent="0.25">
      <c r="V72" s="76">
        <f>B44</f>
        <v>662629.41124199703</v>
      </c>
      <c r="W72" s="160">
        <v>7.5</v>
      </c>
      <c r="X72" s="161">
        <v>8</v>
      </c>
      <c r="Y72" s="161">
        <v>8.5</v>
      </c>
      <c r="Z72" s="161">
        <v>9</v>
      </c>
      <c r="AA72" s="162">
        <v>9.5</v>
      </c>
      <c r="AD72" s="76">
        <f>L38</f>
        <v>2.2983896510713371E-2</v>
      </c>
      <c r="AE72" s="160">
        <f>W72</f>
        <v>7.5</v>
      </c>
      <c r="AF72" s="161">
        <f t="shared" ref="AF72:AI72" si="7">X72</f>
        <v>8</v>
      </c>
      <c r="AG72" s="161">
        <f t="shared" si="7"/>
        <v>8.5</v>
      </c>
      <c r="AH72" s="161">
        <f t="shared" si="7"/>
        <v>9</v>
      </c>
      <c r="AI72" s="162">
        <f t="shared" si="7"/>
        <v>9.5</v>
      </c>
    </row>
    <row r="73" spans="21:35" ht="15" customHeight="1" thickBot="1" x14ac:dyDescent="0.3">
      <c r="U73" s="276" t="s">
        <v>87</v>
      </c>
      <c r="V73" s="91">
        <v>0.1</v>
      </c>
      <c r="W73" s="163">
        <f t="dataTable" ref="W73:AA77" dt2D="1" dtr="1" r1="B38" r2="L35" ca="1"/>
        <v>661972.96132875467</v>
      </c>
      <c r="X73" s="163">
        <v>681868.75176279934</v>
      </c>
      <c r="Y73" s="163">
        <v>701764.54219684401</v>
      </c>
      <c r="Z73" s="163">
        <v>721660.33263088879</v>
      </c>
      <c r="AA73" s="164">
        <v>741556.12306493334</v>
      </c>
      <c r="AC73" s="276" t="s">
        <v>87</v>
      </c>
      <c r="AD73" s="91">
        <v>0.1</v>
      </c>
      <c r="AE73" s="176">
        <f t="dataTable" ref="AE73:AI77" dt2D="1" dtr="1" r1="B38" r2="L35" ca="1"/>
        <v>4.7549839574808203E-3</v>
      </c>
      <c r="AF73" s="176">
        <v>1.0221950199141187E-2</v>
      </c>
      <c r="AG73" s="176">
        <v>1.5095387861389413E-2</v>
      </c>
      <c r="AH73" s="176">
        <v>1.9466976154242852E-2</v>
      </c>
      <c r="AI73" s="177">
        <v>2.3410437261802728E-2</v>
      </c>
    </row>
    <row r="74" spans="21:35" ht="15.75" thickBot="1" x14ac:dyDescent="0.3">
      <c r="U74" s="277"/>
      <c r="V74" s="92">
        <v>0.105</v>
      </c>
      <c r="W74" s="163">
        <v>640486.98670295812</v>
      </c>
      <c r="X74" s="165">
        <v>659500.62680528709</v>
      </c>
      <c r="Y74" s="166">
        <v>678514.26690761605</v>
      </c>
      <c r="Z74" s="167">
        <v>697527.90700994502</v>
      </c>
      <c r="AA74" s="164">
        <v>716541.54711227398</v>
      </c>
      <c r="AC74" s="277"/>
      <c r="AD74" s="92">
        <v>0.105</v>
      </c>
      <c r="AE74" s="176">
        <v>9.3220520663784504E-3</v>
      </c>
      <c r="AF74" s="178">
        <v>1.4813868154591819E-2</v>
      </c>
      <c r="AG74" s="179">
        <v>1.9709457806213904E-2</v>
      </c>
      <c r="AH74" s="180">
        <v>2.410091695494395E-2</v>
      </c>
      <c r="AI74" s="177">
        <v>2.8062302885720009E-2</v>
      </c>
    </row>
    <row r="75" spans="21:35" ht="16.5" thickTop="1" thickBot="1" x14ac:dyDescent="0.3">
      <c r="U75" s="277"/>
      <c r="V75" s="93">
        <v>0.11</v>
      </c>
      <c r="W75" s="163">
        <v>619924.21772364457</v>
      </c>
      <c r="X75" s="168">
        <v>638098.54153093463</v>
      </c>
      <c r="Y75" s="169">
        <v>656272.86533822468</v>
      </c>
      <c r="Z75" s="170">
        <v>674447.18914551474</v>
      </c>
      <c r="AA75" s="164">
        <v>692621.5129528048</v>
      </c>
      <c r="AC75" s="277"/>
      <c r="AD75" s="93">
        <v>0.11</v>
      </c>
      <c r="AE75" s="176">
        <v>1.3889120175276095E-2</v>
      </c>
      <c r="AF75" s="181">
        <v>1.9405786110042452E-2</v>
      </c>
      <c r="AG75" s="182">
        <v>2.432352775103841E-2</v>
      </c>
      <c r="AH75" s="183">
        <v>2.8734857755645063E-2</v>
      </c>
      <c r="AI75" s="177">
        <v>3.2714168509637293E-2</v>
      </c>
    </row>
    <row r="76" spans="21:35" ht="16.5" thickTop="1" thickBot="1" x14ac:dyDescent="0.3">
      <c r="U76" s="277"/>
      <c r="V76" s="92">
        <v>0.115</v>
      </c>
      <c r="W76" s="163">
        <v>600239.02015945478</v>
      </c>
      <c r="X76" s="171">
        <v>617614.60276769719</v>
      </c>
      <c r="Y76" s="172">
        <v>634990.18537593971</v>
      </c>
      <c r="Z76" s="173">
        <v>652365.76798418211</v>
      </c>
      <c r="AA76" s="164">
        <v>669741.35059242463</v>
      </c>
      <c r="AC76" s="277"/>
      <c r="AD76" s="92">
        <v>0.115</v>
      </c>
      <c r="AE76" s="176">
        <v>1.8456188284173742E-2</v>
      </c>
      <c r="AF76" s="184">
        <v>2.3997704065493102E-2</v>
      </c>
      <c r="AG76" s="185">
        <v>2.8937597695862897E-2</v>
      </c>
      <c r="AH76" s="186">
        <v>3.3368798556346176E-2</v>
      </c>
      <c r="AI76" s="177">
        <v>3.7366034133554583E-2</v>
      </c>
    </row>
    <row r="77" spans="21:35" x14ac:dyDescent="0.25">
      <c r="U77" s="278"/>
      <c r="V77" s="94">
        <v>0.12</v>
      </c>
      <c r="W77" s="174">
        <v>581388.25390168012</v>
      </c>
      <c r="X77" s="174">
        <v>598003.53995699715</v>
      </c>
      <c r="Y77" s="174">
        <v>614618.8260123143</v>
      </c>
      <c r="Z77" s="174">
        <v>631234.11206763145</v>
      </c>
      <c r="AA77" s="175">
        <v>647849.39812294836</v>
      </c>
      <c r="AC77" s="278"/>
      <c r="AD77" s="94">
        <v>0.12</v>
      </c>
      <c r="AE77" s="187">
        <v>2.3023256393071373E-2</v>
      </c>
      <c r="AF77" s="187">
        <v>2.8589622020943735E-2</v>
      </c>
      <c r="AG77" s="187">
        <v>3.3551667640687392E-2</v>
      </c>
      <c r="AH77" s="187">
        <v>3.800273935704726E-2</v>
      </c>
      <c r="AI77" s="188">
        <v>4.2017899757471854E-2</v>
      </c>
    </row>
    <row r="80" spans="21:35" x14ac:dyDescent="0.25">
      <c r="U80" s="270" t="s">
        <v>176</v>
      </c>
      <c r="V80" s="271"/>
      <c r="W80" s="271"/>
      <c r="X80" s="271"/>
      <c r="Y80" s="271"/>
      <c r="Z80" s="271"/>
      <c r="AA80" s="271"/>
    </row>
    <row r="81" spans="14:27" ht="3" customHeight="1" thickBot="1" x14ac:dyDescent="0.3">
      <c r="O81" s="158"/>
      <c r="U81" s="159"/>
      <c r="V81" s="159"/>
      <c r="W81" s="159"/>
      <c r="X81" s="159"/>
      <c r="Y81" s="159"/>
      <c r="Z81" s="159"/>
      <c r="AA81" s="159"/>
    </row>
    <row r="82" spans="14:27" ht="3" customHeight="1" thickTop="1" x14ac:dyDescent="0.25"/>
    <row r="83" spans="14:27" x14ac:dyDescent="0.25">
      <c r="W83" s="270" t="s">
        <v>163</v>
      </c>
      <c r="X83" s="271"/>
      <c r="Y83" s="271"/>
      <c r="Z83" s="271"/>
      <c r="AA83" s="272"/>
    </row>
    <row r="84" spans="14:27" x14ac:dyDescent="0.25">
      <c r="V84" s="76">
        <f>G44</f>
        <v>8.6650841124199705</v>
      </c>
      <c r="W84" s="160">
        <f>W72</f>
        <v>7.5</v>
      </c>
      <c r="X84" s="161">
        <f t="shared" ref="X84:AA84" si="8">X72</f>
        <v>8</v>
      </c>
      <c r="Y84" s="161">
        <f t="shared" si="8"/>
        <v>8.5</v>
      </c>
      <c r="Z84" s="161">
        <f t="shared" si="8"/>
        <v>9</v>
      </c>
      <c r="AA84" s="162">
        <f t="shared" si="8"/>
        <v>9.5</v>
      </c>
    </row>
    <row r="85" spans="14:27" ht="15.75" thickBot="1" x14ac:dyDescent="0.3">
      <c r="U85" s="276" t="s">
        <v>87</v>
      </c>
      <c r="V85" s="91">
        <v>0.1</v>
      </c>
      <c r="W85" s="189">
        <f t="dataTable" ref="W85:AA89" dt2D="1" dtr="1" r1="B38" r2="L35" ca="1"/>
        <v>8.658519613287547</v>
      </c>
      <c r="X85" s="189">
        <v>8.8574775176279932</v>
      </c>
      <c r="Y85" s="189">
        <v>9.0564354219684393</v>
      </c>
      <c r="Z85" s="189">
        <v>9.2553933263088872</v>
      </c>
      <c r="AA85" s="190">
        <v>9.4543512306493334</v>
      </c>
    </row>
    <row r="86" spans="14:27" ht="15.75" thickBot="1" x14ac:dyDescent="0.3">
      <c r="U86" s="277"/>
      <c r="V86" s="92">
        <v>0.105</v>
      </c>
      <c r="W86" s="189">
        <v>8.4436598670295808</v>
      </c>
      <c r="X86" s="191">
        <v>8.6337962680528708</v>
      </c>
      <c r="Y86" s="192">
        <v>8.8239326690761608</v>
      </c>
      <c r="Z86" s="193">
        <v>9.0140690700994508</v>
      </c>
      <c r="AA86" s="190">
        <v>9.204205471122739</v>
      </c>
    </row>
    <row r="87" spans="14:27" ht="16.5" thickTop="1" thickBot="1" x14ac:dyDescent="0.3">
      <c r="U87" s="277"/>
      <c r="V87" s="93">
        <v>0.11</v>
      </c>
      <c r="W87" s="189">
        <v>8.2380321772364464</v>
      </c>
      <c r="X87" s="194">
        <v>8.4197754153093456</v>
      </c>
      <c r="Y87" s="195">
        <v>8.6015186533822465</v>
      </c>
      <c r="Z87" s="196">
        <v>8.7832618914551475</v>
      </c>
      <c r="AA87" s="190">
        <v>8.9650051295280484</v>
      </c>
    </row>
    <row r="88" spans="14:27" ht="16.5" thickTop="1" thickBot="1" x14ac:dyDescent="0.3">
      <c r="U88" s="277"/>
      <c r="V88" s="92">
        <v>0.115</v>
      </c>
      <c r="W88" s="189">
        <v>8.0411802015945479</v>
      </c>
      <c r="X88" s="197">
        <v>8.2149360276769716</v>
      </c>
      <c r="Y88" s="198">
        <v>8.3886918537593971</v>
      </c>
      <c r="Z88" s="199">
        <v>8.5624476798418208</v>
      </c>
      <c r="AA88" s="190">
        <v>8.7362035059242462</v>
      </c>
    </row>
    <row r="89" spans="14:27" x14ac:dyDescent="0.25">
      <c r="U89" s="278"/>
      <c r="V89" s="94">
        <v>0.12</v>
      </c>
      <c r="W89" s="200">
        <v>7.8526725390168011</v>
      </c>
      <c r="X89" s="200">
        <v>8.0188253995699714</v>
      </c>
      <c r="Y89" s="200">
        <v>8.1849782601231436</v>
      </c>
      <c r="Z89" s="200">
        <v>8.3511311206763139</v>
      </c>
      <c r="AA89" s="201">
        <v>8.5172839812294843</v>
      </c>
    </row>
    <row r="92" spans="14:27" x14ac:dyDescent="0.25">
      <c r="W92" s="127"/>
      <c r="X92" s="127"/>
      <c r="Y92" s="127"/>
    </row>
    <row r="94" spans="14:27" x14ac:dyDescent="0.25">
      <c r="N94" s="72"/>
      <c r="V94" s="72"/>
    </row>
  </sheetData>
  <mergeCells count="16">
    <mergeCell ref="A32:B32"/>
    <mergeCell ref="D32:G32"/>
    <mergeCell ref="I32:L32"/>
    <mergeCell ref="I40:L40"/>
    <mergeCell ref="A1:M1"/>
    <mergeCell ref="U80:AA80"/>
    <mergeCell ref="W83:AA83"/>
    <mergeCell ref="U85:U89"/>
    <mergeCell ref="A55:C55"/>
    <mergeCell ref="E47:F47"/>
    <mergeCell ref="U68:AA68"/>
    <mergeCell ref="AC68:AI68"/>
    <mergeCell ref="W71:AA71"/>
    <mergeCell ref="U73:U77"/>
    <mergeCell ref="AE71:AI71"/>
    <mergeCell ref="AC73:AC77"/>
  </mergeCells>
  <conditionalFormatting sqref="E2">
    <cfRule type="cellIs" dxfId="1" priority="10" stopIfTrue="1" operator="equal">
      <formula>#REF!</formula>
    </cfRule>
  </conditionalFormatting>
  <conditionalFormatting sqref="W73:AA77">
    <cfRule type="colorScale" priority="7">
      <colorScale>
        <cfvo type="min"/>
        <cfvo type="max"/>
        <color rgb="FFFFEF9C"/>
        <color rgb="FF63BE7B"/>
      </colorScale>
    </cfRule>
    <cfRule type="colorScale" priority="9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AE73:AI77">
    <cfRule type="colorScale" priority="3">
      <colorScale>
        <cfvo type="min"/>
        <cfvo type="max"/>
        <color rgb="FFFFEF9C"/>
        <color rgb="FF63BE7B"/>
      </colorScale>
    </cfRule>
    <cfRule type="colorScale" priority="4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W85:AA89">
    <cfRule type="colorScale" priority="1">
      <colorScale>
        <cfvo type="min"/>
        <cfvo type="max"/>
        <color rgb="FFFFEF9C"/>
        <color rgb="FF63BE7B"/>
      </colorScale>
    </cfRule>
    <cfRule type="colorScale" priority="2">
      <colorScale>
        <cfvo type="min"/>
        <cfvo type="percentile" val="50"/>
        <cfvo type="max"/>
        <color rgb="FF63BE7B"/>
        <color rgb="FFFFEB84"/>
        <color rgb="FFF8696B"/>
      </colorScale>
    </cfRule>
  </conditionalFormatting>
  <pageMargins left="0.7" right="0.7" top="0.75" bottom="0.75" header="0.3" footer="0.3"/>
  <ignoredErrors>
    <ignoredError sqref="B40" formula="1"/>
  </ignoredErrors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3E0683B-9E12-4481-8A9C-B4C279FC613F}">
  <sheetPr>
    <tabColor rgb="FFFFC000"/>
  </sheetPr>
  <dimension ref="A1:AI125"/>
  <sheetViews>
    <sheetView tabSelected="1" zoomScale="80" zoomScaleNormal="80" workbookViewId="0">
      <selection activeCell="F22" sqref="F22"/>
    </sheetView>
  </sheetViews>
  <sheetFormatPr baseColWidth="10" defaultRowHeight="15" x14ac:dyDescent="0.25"/>
  <cols>
    <col min="1" max="1" width="39.5703125" bestFit="1" customWidth="1"/>
    <col min="4" max="5" width="10.85546875" customWidth="1"/>
    <col min="16" max="16" width="11.42578125" customWidth="1"/>
    <col min="20" max="20" width="10.85546875" customWidth="1"/>
    <col min="21" max="21" width="3.7109375" customWidth="1"/>
    <col min="29" max="29" width="3.5703125" customWidth="1"/>
  </cols>
  <sheetData>
    <row r="1" spans="1:13" ht="15.75" x14ac:dyDescent="0.25">
      <c r="A1" s="32" t="s">
        <v>0</v>
      </c>
      <c r="B1" s="247"/>
      <c r="C1" s="220">
        <f t="shared" ref="C1:L1" si="0">C13</f>
        <v>2019</v>
      </c>
      <c r="D1" s="220">
        <f t="shared" si="0"/>
        <v>2020</v>
      </c>
      <c r="E1" s="220">
        <f t="shared" si="0"/>
        <v>2021</v>
      </c>
      <c r="F1" s="220">
        <f t="shared" si="0"/>
        <v>2022</v>
      </c>
      <c r="G1" s="220">
        <f t="shared" si="0"/>
        <v>2023</v>
      </c>
      <c r="H1" s="220">
        <f t="shared" si="0"/>
        <v>2024</v>
      </c>
      <c r="I1" s="220">
        <f t="shared" si="0"/>
        <v>2025</v>
      </c>
      <c r="J1" s="220">
        <f t="shared" si="0"/>
        <v>2026</v>
      </c>
      <c r="K1" s="220">
        <f t="shared" si="0"/>
        <v>2027</v>
      </c>
      <c r="L1" s="220">
        <f t="shared" si="0"/>
        <v>2028</v>
      </c>
      <c r="M1" s="247"/>
    </row>
    <row r="2" spans="1:13" x14ac:dyDescent="0.25">
      <c r="A2" s="219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248"/>
    </row>
    <row r="3" spans="1:13" x14ac:dyDescent="0.25">
      <c r="A3" s="10" t="s">
        <v>2</v>
      </c>
      <c r="B3" s="25"/>
      <c r="C3" s="26">
        <v>0.05</v>
      </c>
      <c r="D3" s="26">
        <v>0.05</v>
      </c>
      <c r="E3" s="26">
        <v>4.7500000000000001E-2</v>
      </c>
      <c r="F3" s="26">
        <v>4.4999999999999998E-2</v>
      </c>
      <c r="G3" s="26">
        <v>0.04</v>
      </c>
      <c r="H3" s="26">
        <v>3.5000000000000003E-2</v>
      </c>
      <c r="I3" s="26">
        <v>3.2500000000000001E-2</v>
      </c>
      <c r="J3" s="26">
        <v>3.125E-2</v>
      </c>
      <c r="K3" s="26">
        <v>0.03</v>
      </c>
      <c r="L3" s="26">
        <v>0.03</v>
      </c>
      <c r="M3" s="249"/>
    </row>
    <row r="4" spans="1:13" x14ac:dyDescent="0.25">
      <c r="A4" s="10" t="s">
        <v>3</v>
      </c>
      <c r="B4" s="25"/>
      <c r="C4" s="26">
        <v>0.37</v>
      </c>
      <c r="D4" s="26">
        <f>C4-0.25%</f>
        <v>0.36749999999999999</v>
      </c>
      <c r="E4" s="26">
        <f t="shared" ref="E4:L4" si="1">D4-0.25%</f>
        <v>0.36499999999999999</v>
      </c>
      <c r="F4" s="26">
        <f t="shared" si="1"/>
        <v>0.36249999999999999</v>
      </c>
      <c r="G4" s="26">
        <f t="shared" si="1"/>
        <v>0.36</v>
      </c>
      <c r="H4" s="26">
        <f t="shared" si="1"/>
        <v>0.35749999999999998</v>
      </c>
      <c r="I4" s="26">
        <f t="shared" si="1"/>
        <v>0.35499999999999998</v>
      </c>
      <c r="J4" s="26">
        <f t="shared" si="1"/>
        <v>0.35249999999999998</v>
      </c>
      <c r="K4" s="26">
        <f t="shared" si="1"/>
        <v>0.35</v>
      </c>
      <c r="L4" s="26">
        <f t="shared" si="1"/>
        <v>0.34749999999999998</v>
      </c>
      <c r="M4" s="249"/>
    </row>
    <row r="5" spans="1:13" x14ac:dyDescent="0.25">
      <c r="A5" s="10" t="s">
        <v>4</v>
      </c>
      <c r="B5" s="4"/>
      <c r="C5" s="21">
        <v>25</v>
      </c>
      <c r="D5" s="21">
        <v>25</v>
      </c>
      <c r="E5" s="21">
        <v>25</v>
      </c>
      <c r="F5" s="21">
        <v>25</v>
      </c>
      <c r="G5" s="21">
        <v>25</v>
      </c>
      <c r="H5" s="21">
        <v>25</v>
      </c>
      <c r="I5" s="21">
        <v>25</v>
      </c>
      <c r="J5" s="21">
        <v>25</v>
      </c>
      <c r="K5" s="21">
        <v>25</v>
      </c>
      <c r="L5" s="21">
        <v>25</v>
      </c>
      <c r="M5" s="250"/>
    </row>
    <row r="6" spans="1:13" x14ac:dyDescent="0.25">
      <c r="A6" s="10" t="s">
        <v>5</v>
      </c>
      <c r="B6" s="4"/>
      <c r="C6" s="21">
        <v>30</v>
      </c>
      <c r="D6" s="21">
        <v>30</v>
      </c>
      <c r="E6" s="21">
        <v>30</v>
      </c>
      <c r="F6" s="21">
        <v>30</v>
      </c>
      <c r="G6" s="21">
        <v>30</v>
      </c>
      <c r="H6" s="21">
        <v>30</v>
      </c>
      <c r="I6" s="21">
        <v>30</v>
      </c>
      <c r="J6" s="21">
        <v>30</v>
      </c>
      <c r="K6" s="21">
        <v>30</v>
      </c>
      <c r="L6" s="21">
        <v>30</v>
      </c>
      <c r="M6" s="250"/>
    </row>
    <row r="7" spans="1:13" x14ac:dyDescent="0.25">
      <c r="A7" s="10" t="s">
        <v>203</v>
      </c>
      <c r="B7" s="25"/>
      <c r="C7" s="26">
        <v>0.02</v>
      </c>
      <c r="D7" s="26">
        <v>0.02</v>
      </c>
      <c r="E7" s="26">
        <v>0.02</v>
      </c>
      <c r="F7" s="26">
        <v>0.02</v>
      </c>
      <c r="G7" s="26">
        <v>0.02</v>
      </c>
      <c r="H7" s="26">
        <v>0.02</v>
      </c>
      <c r="I7" s="26">
        <v>0.02</v>
      </c>
      <c r="J7" s="26">
        <v>0.02</v>
      </c>
      <c r="K7" s="26">
        <v>0.02</v>
      </c>
      <c r="L7" s="26">
        <v>0.02</v>
      </c>
      <c r="M7" s="249"/>
    </row>
    <row r="8" spans="1:13" x14ac:dyDescent="0.25">
      <c r="A8" s="10" t="s">
        <v>7</v>
      </c>
      <c r="B8" s="25"/>
      <c r="C8" s="26">
        <v>0.03</v>
      </c>
      <c r="D8" s="26">
        <v>0.03</v>
      </c>
      <c r="E8" s="26">
        <v>0.03</v>
      </c>
      <c r="F8" s="26">
        <v>0.03</v>
      </c>
      <c r="G8" s="26">
        <v>0.03</v>
      </c>
      <c r="H8" s="26">
        <v>0.03</v>
      </c>
      <c r="I8" s="26">
        <v>0.03</v>
      </c>
      <c r="J8" s="26">
        <v>0.03</v>
      </c>
      <c r="K8" s="26">
        <v>0.03</v>
      </c>
      <c r="L8" s="26">
        <v>0.03</v>
      </c>
      <c r="M8" s="249"/>
    </row>
    <row r="9" spans="1:13" x14ac:dyDescent="0.25">
      <c r="A9" s="10" t="s">
        <v>8</v>
      </c>
      <c r="B9" s="25"/>
      <c r="C9" s="26">
        <v>0.28000000000000003</v>
      </c>
      <c r="D9" s="26">
        <v>0.28000000000000003</v>
      </c>
      <c r="E9" s="26">
        <v>0.28000000000000003</v>
      </c>
      <c r="F9" s="26">
        <v>0.28000000000000003</v>
      </c>
      <c r="G9" s="26">
        <v>0.28000000000000003</v>
      </c>
      <c r="H9" s="26">
        <v>0.28000000000000003</v>
      </c>
      <c r="I9" s="26">
        <v>0.28000000000000003</v>
      </c>
      <c r="J9" s="26">
        <v>0.28000000000000003</v>
      </c>
      <c r="K9" s="26">
        <v>0.28000000000000003</v>
      </c>
      <c r="L9" s="26">
        <v>0.28000000000000003</v>
      </c>
      <c r="M9" s="249"/>
    </row>
    <row r="10" spans="1:13" x14ac:dyDescent="0.25">
      <c r="A10" s="10" t="s">
        <v>69</v>
      </c>
      <c r="B10" s="268">
        <v>0.1</v>
      </c>
      <c r="C10" s="251">
        <f>(C14-B14)*$B$10</f>
        <v>25</v>
      </c>
      <c r="D10" s="251">
        <f t="shared" ref="D10:L10" si="2">(D14-C14)*$B$10</f>
        <v>26.25</v>
      </c>
      <c r="E10" s="251">
        <f t="shared" si="2"/>
        <v>26.184375000000092</v>
      </c>
      <c r="F10" s="251">
        <f t="shared" si="2"/>
        <v>25.984546874999978</v>
      </c>
      <c r="G10" s="251">
        <f t="shared" si="2"/>
        <v>24.136756874999993</v>
      </c>
      <c r="H10" s="251">
        <f t="shared" si="2"/>
        <v>21.964448756249933</v>
      </c>
      <c r="I10" s="251">
        <f t="shared" si="2"/>
        <v>21.109404143953089</v>
      </c>
      <c r="J10" s="251">
        <f t="shared" si="2"/>
        <v>20.957172864068891</v>
      </c>
      <c r="K10" s="251">
        <f t="shared" si="2"/>
        <v>20.747601135428159</v>
      </c>
      <c r="L10" s="251">
        <f t="shared" si="2"/>
        <v>21.370029169491048</v>
      </c>
      <c r="M10" s="251"/>
    </row>
    <row r="11" spans="1:13" x14ac:dyDescent="0.25">
      <c r="A11" s="10" t="s">
        <v>215</v>
      </c>
      <c r="B11" s="269">
        <v>7.4999999999999997E-2</v>
      </c>
      <c r="C11" s="251">
        <f>(C14-B14)*$B$11</f>
        <v>18.75</v>
      </c>
      <c r="D11" s="251">
        <f t="shared" ref="D11:L11" si="3">(D14-C14)*$B$11</f>
        <v>19.6875</v>
      </c>
      <c r="E11" s="251">
        <f t="shared" si="3"/>
        <v>19.638281250000066</v>
      </c>
      <c r="F11" s="251">
        <f t="shared" si="3"/>
        <v>19.488410156249984</v>
      </c>
      <c r="G11" s="251">
        <f t="shared" si="3"/>
        <v>18.102567656249992</v>
      </c>
      <c r="H11" s="251">
        <f t="shared" si="3"/>
        <v>16.473336567187449</v>
      </c>
      <c r="I11" s="251">
        <f t="shared" si="3"/>
        <v>15.832053107964816</v>
      </c>
      <c r="J11" s="251">
        <f t="shared" si="3"/>
        <v>15.717879648051666</v>
      </c>
      <c r="K11" s="251">
        <f t="shared" si="3"/>
        <v>15.560700851571118</v>
      </c>
      <c r="L11" s="251">
        <f t="shared" si="3"/>
        <v>16.027521877118282</v>
      </c>
    </row>
    <row r="13" spans="1:13" x14ac:dyDescent="0.25">
      <c r="A13" s="233"/>
      <c r="B13" s="245">
        <v>2018</v>
      </c>
      <c r="C13" s="220">
        <f t="shared" ref="C13:L13" si="4">C34</f>
        <v>2019</v>
      </c>
      <c r="D13" s="220">
        <f t="shared" si="4"/>
        <v>2020</v>
      </c>
      <c r="E13" s="220">
        <f t="shared" si="4"/>
        <v>2021</v>
      </c>
      <c r="F13" s="220">
        <f t="shared" si="4"/>
        <v>2022</v>
      </c>
      <c r="G13" s="220">
        <f t="shared" si="4"/>
        <v>2023</v>
      </c>
      <c r="H13" s="220">
        <f t="shared" si="4"/>
        <v>2024</v>
      </c>
      <c r="I13" s="220">
        <f t="shared" si="4"/>
        <v>2025</v>
      </c>
      <c r="J13" s="220">
        <f t="shared" si="4"/>
        <v>2026</v>
      </c>
      <c r="K13" s="220">
        <f t="shared" si="4"/>
        <v>2027</v>
      </c>
      <c r="L13" s="220">
        <f t="shared" si="4"/>
        <v>2028</v>
      </c>
      <c r="M13" s="236"/>
    </row>
    <row r="14" spans="1:13" x14ac:dyDescent="0.25">
      <c r="A14" s="235" t="s">
        <v>193</v>
      </c>
      <c r="B14" s="252">
        <v>5000</v>
      </c>
      <c r="C14" s="240">
        <f t="shared" ref="C14:L14" si="5">B14*(1+C3)</f>
        <v>5250</v>
      </c>
      <c r="D14" s="240">
        <f t="shared" si="5"/>
        <v>5512.5</v>
      </c>
      <c r="E14" s="240">
        <f t="shared" si="5"/>
        <v>5774.3437500000009</v>
      </c>
      <c r="F14" s="240">
        <f t="shared" si="5"/>
        <v>6034.1892187500007</v>
      </c>
      <c r="G14" s="240">
        <f t="shared" si="5"/>
        <v>6275.5567875000006</v>
      </c>
      <c r="H14" s="240">
        <f t="shared" si="5"/>
        <v>6495.2012750624999</v>
      </c>
      <c r="I14" s="240">
        <f t="shared" si="5"/>
        <v>6706.2953165020308</v>
      </c>
      <c r="J14" s="240">
        <f t="shared" si="5"/>
        <v>6915.8670451427197</v>
      </c>
      <c r="K14" s="240">
        <f t="shared" si="5"/>
        <v>7123.3430564970013</v>
      </c>
      <c r="L14" s="240">
        <f t="shared" si="5"/>
        <v>7337.0433481919117</v>
      </c>
    </row>
    <row r="15" spans="1:13" x14ac:dyDescent="0.25">
      <c r="A15" s="235" t="s">
        <v>200</v>
      </c>
      <c r="B15" s="239"/>
      <c r="C15" s="240">
        <f t="shared" ref="C15:L15" si="6">C14*C4</f>
        <v>1942.5</v>
      </c>
      <c r="D15" s="240">
        <f t="shared" si="6"/>
        <v>2025.84375</v>
      </c>
      <c r="E15" s="240">
        <f t="shared" si="6"/>
        <v>2107.6354687500002</v>
      </c>
      <c r="F15" s="240">
        <f t="shared" si="6"/>
        <v>2187.3935917968752</v>
      </c>
      <c r="G15" s="240">
        <f t="shared" si="6"/>
        <v>2259.2004435000003</v>
      </c>
      <c r="H15" s="240">
        <f t="shared" si="6"/>
        <v>2322.0344558348438</v>
      </c>
      <c r="I15" s="240">
        <f t="shared" si="6"/>
        <v>2380.7348373582208</v>
      </c>
      <c r="J15" s="240">
        <f t="shared" si="6"/>
        <v>2437.8431334128086</v>
      </c>
      <c r="K15" s="240">
        <f t="shared" si="6"/>
        <v>2493.1700697739502</v>
      </c>
      <c r="L15" s="240">
        <f t="shared" si="6"/>
        <v>2549.6225634966891</v>
      </c>
    </row>
    <row r="16" spans="1:13" x14ac:dyDescent="0.25">
      <c r="A16" s="238" t="s">
        <v>17</v>
      </c>
      <c r="B16" s="241"/>
      <c r="C16" s="242">
        <f>C14-C15</f>
        <v>3307.5</v>
      </c>
      <c r="D16" s="242">
        <f t="shared" ref="D16:L16" si="7">D14-D15</f>
        <v>3486.65625</v>
      </c>
      <c r="E16" s="242">
        <f t="shared" si="7"/>
        <v>3666.7082812500007</v>
      </c>
      <c r="F16" s="242">
        <f t="shared" si="7"/>
        <v>3846.7956269531255</v>
      </c>
      <c r="G16" s="242">
        <f t="shared" si="7"/>
        <v>4016.3563440000003</v>
      </c>
      <c r="H16" s="242">
        <f t="shared" si="7"/>
        <v>4173.1668192276557</v>
      </c>
      <c r="I16" s="242">
        <f t="shared" si="7"/>
        <v>4325.56047914381</v>
      </c>
      <c r="J16" s="242">
        <f t="shared" si="7"/>
        <v>4478.0239117299116</v>
      </c>
      <c r="K16" s="242">
        <f t="shared" si="7"/>
        <v>4630.1729867230515</v>
      </c>
      <c r="L16" s="254">
        <f t="shared" si="7"/>
        <v>4787.4207846952231</v>
      </c>
    </row>
    <row r="17" spans="1:13" x14ac:dyDescent="0.25">
      <c r="A17" s="232" t="s">
        <v>201</v>
      </c>
      <c r="B17" s="240"/>
      <c r="C17" s="253">
        <f>C16/C14</f>
        <v>0.63</v>
      </c>
      <c r="D17" s="253">
        <f t="shared" ref="D17:L17" si="8">D16/D14</f>
        <v>0.63249999999999995</v>
      </c>
      <c r="E17" s="253">
        <f t="shared" si="8"/>
        <v>0.63500000000000001</v>
      </c>
      <c r="F17" s="253">
        <f t="shared" si="8"/>
        <v>0.63750000000000007</v>
      </c>
      <c r="G17" s="253">
        <f t="shared" si="8"/>
        <v>0.64</v>
      </c>
      <c r="H17" s="253">
        <f t="shared" si="8"/>
        <v>0.64249999999999996</v>
      </c>
      <c r="I17" s="253">
        <f t="shared" si="8"/>
        <v>0.64500000000000002</v>
      </c>
      <c r="J17" s="253">
        <f t="shared" si="8"/>
        <v>0.64750000000000008</v>
      </c>
      <c r="K17" s="253">
        <f t="shared" si="8"/>
        <v>0.65000000000000013</v>
      </c>
      <c r="L17" s="253">
        <f t="shared" si="8"/>
        <v>0.65250000000000008</v>
      </c>
    </row>
    <row r="18" spans="1:13" x14ac:dyDescent="0.25">
      <c r="A18" s="61" t="s">
        <v>194</v>
      </c>
      <c r="B18" s="240"/>
      <c r="C18" s="240"/>
      <c r="D18" s="240"/>
      <c r="E18" s="240"/>
      <c r="F18" s="240"/>
      <c r="G18" s="240"/>
      <c r="H18" s="3"/>
      <c r="I18" s="3"/>
      <c r="J18" s="3"/>
      <c r="K18" s="3"/>
      <c r="L18" s="3"/>
    </row>
    <row r="19" spans="1:13" x14ac:dyDescent="0.25">
      <c r="A19" s="231" t="s">
        <v>4</v>
      </c>
      <c r="B19" s="240"/>
      <c r="C19" s="240">
        <f t="shared" ref="C19:L19" si="9">C5</f>
        <v>25</v>
      </c>
      <c r="D19" s="240">
        <f t="shared" si="9"/>
        <v>25</v>
      </c>
      <c r="E19" s="240">
        <f t="shared" si="9"/>
        <v>25</v>
      </c>
      <c r="F19" s="240">
        <f t="shared" si="9"/>
        <v>25</v>
      </c>
      <c r="G19" s="240">
        <f t="shared" si="9"/>
        <v>25</v>
      </c>
      <c r="H19" s="240">
        <f t="shared" si="9"/>
        <v>25</v>
      </c>
      <c r="I19" s="240">
        <f t="shared" si="9"/>
        <v>25</v>
      </c>
      <c r="J19" s="240">
        <f t="shared" si="9"/>
        <v>25</v>
      </c>
      <c r="K19" s="240">
        <f t="shared" si="9"/>
        <v>25</v>
      </c>
      <c r="L19" s="240">
        <f t="shared" si="9"/>
        <v>25</v>
      </c>
    </row>
    <row r="20" spans="1:13" x14ac:dyDescent="0.25">
      <c r="A20" s="231" t="s">
        <v>5</v>
      </c>
      <c r="B20" s="240"/>
      <c r="C20" s="240">
        <f t="shared" ref="C20:L20" si="10">C6</f>
        <v>30</v>
      </c>
      <c r="D20" s="240">
        <f t="shared" si="10"/>
        <v>30</v>
      </c>
      <c r="E20" s="240">
        <f t="shared" si="10"/>
        <v>30</v>
      </c>
      <c r="F20" s="240">
        <f t="shared" si="10"/>
        <v>30</v>
      </c>
      <c r="G20" s="240">
        <f t="shared" si="10"/>
        <v>30</v>
      </c>
      <c r="H20" s="240">
        <f t="shared" si="10"/>
        <v>30</v>
      </c>
      <c r="I20" s="240">
        <f t="shared" si="10"/>
        <v>30</v>
      </c>
      <c r="J20" s="240">
        <f t="shared" si="10"/>
        <v>30</v>
      </c>
      <c r="K20" s="240">
        <f t="shared" si="10"/>
        <v>30</v>
      </c>
      <c r="L20" s="240">
        <f t="shared" si="10"/>
        <v>30</v>
      </c>
    </row>
    <row r="21" spans="1:13" x14ac:dyDescent="0.25">
      <c r="A21" s="238" t="s">
        <v>80</v>
      </c>
      <c r="B21" s="242"/>
      <c r="C21" s="242">
        <f t="shared" ref="C21:L21" si="11">C16-C19-C20</f>
        <v>3252.5</v>
      </c>
      <c r="D21" s="242">
        <f t="shared" si="11"/>
        <v>3431.65625</v>
      </c>
      <c r="E21" s="242">
        <f t="shared" si="11"/>
        <v>3611.7082812500007</v>
      </c>
      <c r="F21" s="242">
        <f t="shared" si="11"/>
        <v>3791.7956269531255</v>
      </c>
      <c r="G21" s="242">
        <f t="shared" si="11"/>
        <v>3961.3563440000003</v>
      </c>
      <c r="H21" s="242">
        <f t="shared" si="11"/>
        <v>4118.1668192276557</v>
      </c>
      <c r="I21" s="242">
        <f t="shared" si="11"/>
        <v>4270.56047914381</v>
      </c>
      <c r="J21" s="242">
        <f t="shared" si="11"/>
        <v>4423.0239117299116</v>
      </c>
      <c r="K21" s="242">
        <f t="shared" si="11"/>
        <v>4575.1729867230515</v>
      </c>
      <c r="L21" s="254">
        <f t="shared" si="11"/>
        <v>4732.4207846952231</v>
      </c>
    </row>
    <row r="22" spans="1:13" x14ac:dyDescent="0.25">
      <c r="A22" s="232" t="s">
        <v>202</v>
      </c>
      <c r="B22" s="246"/>
      <c r="C22" s="253">
        <f t="shared" ref="C22:L22" si="12">C21/C14</f>
        <v>0.61952380952380948</v>
      </c>
      <c r="D22" s="253">
        <f t="shared" si="12"/>
        <v>0.62252267573696141</v>
      </c>
      <c r="E22" s="253">
        <f t="shared" si="12"/>
        <v>0.62547510810211115</v>
      </c>
      <c r="F22" s="253">
        <f t="shared" si="12"/>
        <v>0.62838527091111118</v>
      </c>
      <c r="G22" s="253">
        <f t="shared" si="12"/>
        <v>0.63123583741452993</v>
      </c>
      <c r="H22" s="253">
        <f t="shared" si="12"/>
        <v>0.63403221006234767</v>
      </c>
      <c r="I22" s="253">
        <f t="shared" si="12"/>
        <v>0.63679875066571212</v>
      </c>
      <c r="J22" s="253">
        <f t="shared" si="12"/>
        <v>0.63954727337281192</v>
      </c>
      <c r="K22" s="253">
        <f t="shared" si="12"/>
        <v>0.64227890618719596</v>
      </c>
      <c r="L22" s="253">
        <f t="shared" si="12"/>
        <v>0.64500379241475336</v>
      </c>
    </row>
    <row r="23" spans="1:13" x14ac:dyDescent="0.25">
      <c r="A23" s="237" t="s">
        <v>195</v>
      </c>
      <c r="B23" s="243"/>
      <c r="C23" s="244">
        <f t="shared" ref="C23:L23" si="13">C14*C7</f>
        <v>105</v>
      </c>
      <c r="D23" s="244">
        <f t="shared" si="13"/>
        <v>110.25</v>
      </c>
      <c r="E23" s="244">
        <f t="shared" si="13"/>
        <v>115.48687500000003</v>
      </c>
      <c r="F23" s="244">
        <f t="shared" si="13"/>
        <v>120.68378437500002</v>
      </c>
      <c r="G23" s="244">
        <f t="shared" si="13"/>
        <v>125.51113575000001</v>
      </c>
      <c r="H23" s="244">
        <f t="shared" si="13"/>
        <v>129.90402550125</v>
      </c>
      <c r="I23" s="244">
        <f t="shared" si="13"/>
        <v>134.12590633004061</v>
      </c>
      <c r="J23" s="244">
        <f t="shared" si="13"/>
        <v>138.3173409028544</v>
      </c>
      <c r="K23" s="244">
        <f t="shared" si="13"/>
        <v>142.46686112994004</v>
      </c>
      <c r="L23" s="244">
        <f t="shared" si="13"/>
        <v>146.74086696383824</v>
      </c>
    </row>
    <row r="24" spans="1:13" x14ac:dyDescent="0.25">
      <c r="A24" s="238" t="s">
        <v>139</v>
      </c>
      <c r="B24" s="242"/>
      <c r="C24" s="242">
        <f>C21-C23</f>
        <v>3147.5</v>
      </c>
      <c r="D24" s="242">
        <f t="shared" ref="D24:L24" si="14">D21-D23</f>
        <v>3321.40625</v>
      </c>
      <c r="E24" s="242">
        <f t="shared" si="14"/>
        <v>3496.2214062500007</v>
      </c>
      <c r="F24" s="242">
        <f t="shared" si="14"/>
        <v>3671.1118425781256</v>
      </c>
      <c r="G24" s="242">
        <f t="shared" si="14"/>
        <v>3835.8452082500003</v>
      </c>
      <c r="H24" s="242">
        <f t="shared" si="14"/>
        <v>3988.2627937264056</v>
      </c>
      <c r="I24" s="242">
        <f t="shared" si="14"/>
        <v>4136.4345728137696</v>
      </c>
      <c r="J24" s="242">
        <f t="shared" si="14"/>
        <v>4284.7065708270575</v>
      </c>
      <c r="K24" s="242">
        <f t="shared" si="14"/>
        <v>4432.7061255931112</v>
      </c>
      <c r="L24" s="254">
        <f t="shared" si="14"/>
        <v>4585.6799177313851</v>
      </c>
    </row>
    <row r="25" spans="1:13" x14ac:dyDescent="0.25">
      <c r="A25" s="237" t="s">
        <v>196</v>
      </c>
      <c r="B25" s="244"/>
      <c r="C25" s="244">
        <f>'Debt (Sans EF préc.)'!C23</f>
        <v>1000</v>
      </c>
      <c r="D25" s="244">
        <f>'Debt (Sans EF préc.)'!D23</f>
        <v>979.04754270077035</v>
      </c>
      <c r="E25" s="244">
        <f>'Debt (Sans EF préc.)'!E23</f>
        <v>957.04746253657925</v>
      </c>
      <c r="F25" s="244">
        <f>'Debt (Sans EF préc.)'!F23</f>
        <v>933.94737836417869</v>
      </c>
      <c r="G25" s="244">
        <f>'Debt (Sans EF préc.)'!G23</f>
        <v>909.69228998315793</v>
      </c>
      <c r="H25" s="244">
        <f>'Debt (Sans EF préc.)'!H23</f>
        <v>884.22444718308623</v>
      </c>
      <c r="I25" s="244">
        <f>'Debt (Sans EF préc.)'!I23</f>
        <v>857.48321224301094</v>
      </c>
      <c r="J25" s="244">
        <f>'Debt (Sans EF préc.)'!J23</f>
        <v>829.40491555593189</v>
      </c>
      <c r="K25" s="244">
        <f>'Debt (Sans EF préc.)'!K23</f>
        <v>799.92270403449879</v>
      </c>
      <c r="L25" s="244">
        <f>'Debt (Sans EF préc.)'!L23</f>
        <v>768.96638193699414</v>
      </c>
    </row>
    <row r="26" spans="1:13" x14ac:dyDescent="0.25">
      <c r="A26" s="238" t="s">
        <v>197</v>
      </c>
      <c r="B26" s="242"/>
      <c r="C26" s="242">
        <f>C24-C25</f>
        <v>2147.5</v>
      </c>
      <c r="D26" s="242">
        <f t="shared" ref="D26:L26" si="15">D24-D25</f>
        <v>2342.3587072992295</v>
      </c>
      <c r="E26" s="242">
        <f t="shared" si="15"/>
        <v>2539.1739437134215</v>
      </c>
      <c r="F26" s="242">
        <f t="shared" si="15"/>
        <v>2737.1644642139468</v>
      </c>
      <c r="G26" s="242">
        <f t="shared" si="15"/>
        <v>2926.1529182668423</v>
      </c>
      <c r="H26" s="242">
        <f t="shared" si="15"/>
        <v>3104.0383465433192</v>
      </c>
      <c r="I26" s="242">
        <f t="shared" si="15"/>
        <v>3278.9513605707589</v>
      </c>
      <c r="J26" s="242">
        <f t="shared" si="15"/>
        <v>3455.3016552711256</v>
      </c>
      <c r="K26" s="242">
        <f t="shared" si="15"/>
        <v>3632.7834215586126</v>
      </c>
      <c r="L26" s="242">
        <f t="shared" si="15"/>
        <v>3816.7135357943907</v>
      </c>
    </row>
    <row r="27" spans="1:13" x14ac:dyDescent="0.25">
      <c r="A27" s="237" t="s">
        <v>198</v>
      </c>
      <c r="B27" s="244"/>
      <c r="C27" s="244">
        <f t="shared" ref="C27:L27" si="16">C26*C9</f>
        <v>601.30000000000007</v>
      </c>
      <c r="D27" s="244">
        <f t="shared" si="16"/>
        <v>655.86043804378437</v>
      </c>
      <c r="E27" s="244">
        <f t="shared" si="16"/>
        <v>710.96870423975804</v>
      </c>
      <c r="F27" s="244">
        <f t="shared" si="16"/>
        <v>766.40604997990522</v>
      </c>
      <c r="G27" s="244">
        <f t="shared" si="16"/>
        <v>819.32281711471592</v>
      </c>
      <c r="H27" s="244">
        <f t="shared" si="16"/>
        <v>869.13073703212945</v>
      </c>
      <c r="I27" s="244">
        <f t="shared" si="16"/>
        <v>918.10638095981255</v>
      </c>
      <c r="J27" s="244">
        <f t="shared" si="16"/>
        <v>967.48446347591528</v>
      </c>
      <c r="K27" s="244">
        <f t="shared" si="16"/>
        <v>1017.1793580364116</v>
      </c>
      <c r="L27" s="244">
        <f t="shared" si="16"/>
        <v>1068.6797900224294</v>
      </c>
    </row>
    <row r="28" spans="1:13" x14ac:dyDescent="0.25">
      <c r="A28" s="238" t="s">
        <v>23</v>
      </c>
      <c r="B28" s="242"/>
      <c r="C28" s="242">
        <f>C26-C27</f>
        <v>1546.1999999999998</v>
      </c>
      <c r="D28" s="242">
        <f t="shared" ref="D28:L28" si="17">D26-D27</f>
        <v>1686.4982692554452</v>
      </c>
      <c r="E28" s="242">
        <f t="shared" si="17"/>
        <v>1828.2052394736634</v>
      </c>
      <c r="F28" s="242">
        <f t="shared" si="17"/>
        <v>1970.7584142340415</v>
      </c>
      <c r="G28" s="242">
        <f t="shared" si="17"/>
        <v>2106.8301011521262</v>
      </c>
      <c r="H28" s="242">
        <f t="shared" si="17"/>
        <v>2234.9076095111895</v>
      </c>
      <c r="I28" s="242">
        <f t="shared" si="17"/>
        <v>2360.8449796109462</v>
      </c>
      <c r="J28" s="242">
        <f t="shared" si="17"/>
        <v>2487.8171917952104</v>
      </c>
      <c r="K28" s="242">
        <f t="shared" si="17"/>
        <v>2615.6040635222012</v>
      </c>
      <c r="L28" s="242">
        <f t="shared" si="17"/>
        <v>2748.0337457719615</v>
      </c>
    </row>
    <row r="29" spans="1:13" x14ac:dyDescent="0.25">
      <c r="A29" s="232" t="s">
        <v>199</v>
      </c>
      <c r="B29" s="234"/>
      <c r="C29" s="267">
        <f t="shared" ref="C29:L29" si="18">C28/C14</f>
        <v>0.29451428571428567</v>
      </c>
      <c r="D29" s="267">
        <f t="shared" si="18"/>
        <v>0.30594072911663406</v>
      </c>
      <c r="E29" s="267">
        <f t="shared" si="18"/>
        <v>0.31660831405710183</v>
      </c>
      <c r="F29" s="267">
        <f t="shared" si="18"/>
        <v>0.32659870991620804</v>
      </c>
      <c r="G29" s="267">
        <f t="shared" si="18"/>
        <v>0.3357200281174455</v>
      </c>
      <c r="H29" s="267">
        <f t="shared" si="18"/>
        <v>0.34408596668002167</v>
      </c>
      <c r="I29" s="267">
        <f t="shared" si="18"/>
        <v>0.35203415122529241</v>
      </c>
      <c r="J29" s="267">
        <f t="shared" si="18"/>
        <v>0.3597260004502979</v>
      </c>
      <c r="K29" s="267">
        <f t="shared" si="18"/>
        <v>0.36718771548375478</v>
      </c>
      <c r="L29" s="267">
        <f t="shared" si="18"/>
        <v>0.37454238926490291</v>
      </c>
    </row>
    <row r="32" spans="1:13" x14ac:dyDescent="0.25">
      <c r="A32" s="282" t="s">
        <v>75</v>
      </c>
      <c r="B32" s="282"/>
      <c r="C32" s="282"/>
      <c r="D32" s="282"/>
      <c r="E32" s="282"/>
      <c r="F32" s="282"/>
      <c r="G32" s="282"/>
      <c r="H32" s="282"/>
      <c r="I32" s="282"/>
      <c r="J32" s="282"/>
      <c r="K32" s="282"/>
      <c r="L32" s="282"/>
      <c r="M32" s="123"/>
    </row>
    <row r="33" spans="1:13" x14ac:dyDescent="0.25">
      <c r="A33" s="42"/>
      <c r="B33" s="42"/>
      <c r="C33" s="42"/>
      <c r="D33" s="43"/>
      <c r="E33" s="148"/>
      <c r="F33" s="148"/>
      <c r="G33" s="148"/>
      <c r="H33" s="148"/>
      <c r="I33" s="148"/>
      <c r="J33" s="148"/>
      <c r="K33" s="148"/>
      <c r="L33" s="148"/>
      <c r="M33" s="255"/>
    </row>
    <row r="34" spans="1:13" ht="15.75" thickBot="1" x14ac:dyDescent="0.3">
      <c r="A34" s="45" t="s">
        <v>76</v>
      </c>
      <c r="B34" s="50">
        <f>'3 Financial statements'!I2</f>
        <v>2018</v>
      </c>
      <c r="C34" s="48">
        <f t="shared" ref="C34:L34" si="19">C51</f>
        <v>2019</v>
      </c>
      <c r="D34" s="48">
        <f t="shared" si="19"/>
        <v>2020</v>
      </c>
      <c r="E34" s="48">
        <f t="shared" si="19"/>
        <v>2021</v>
      </c>
      <c r="F34" s="48">
        <f t="shared" si="19"/>
        <v>2022</v>
      </c>
      <c r="G34" s="48">
        <f t="shared" si="19"/>
        <v>2023</v>
      </c>
      <c r="H34" s="48">
        <f t="shared" si="19"/>
        <v>2024</v>
      </c>
      <c r="I34" s="48">
        <f t="shared" si="19"/>
        <v>2025</v>
      </c>
      <c r="J34" s="48">
        <f t="shared" si="19"/>
        <v>2026</v>
      </c>
      <c r="K34" s="48">
        <f t="shared" si="19"/>
        <v>2027</v>
      </c>
      <c r="L34" s="48">
        <f t="shared" si="19"/>
        <v>2028</v>
      </c>
      <c r="M34" s="256"/>
    </row>
    <row r="35" spans="1:13" x14ac:dyDescent="0.25">
      <c r="A35" s="149" t="s">
        <v>15</v>
      </c>
      <c r="B35" s="150">
        <f t="shared" ref="B35:L35" si="20">B14</f>
        <v>5000</v>
      </c>
      <c r="C35" s="150">
        <f t="shared" si="20"/>
        <v>5250</v>
      </c>
      <c r="D35" s="150">
        <f t="shared" si="20"/>
        <v>5512.5</v>
      </c>
      <c r="E35" s="150">
        <f t="shared" si="20"/>
        <v>5774.3437500000009</v>
      </c>
      <c r="F35" s="150">
        <f t="shared" si="20"/>
        <v>6034.1892187500007</v>
      </c>
      <c r="G35" s="150">
        <f t="shared" si="20"/>
        <v>6275.5567875000006</v>
      </c>
      <c r="H35" s="150">
        <f t="shared" si="20"/>
        <v>6495.2012750624999</v>
      </c>
      <c r="I35" s="150">
        <f t="shared" si="20"/>
        <v>6706.2953165020308</v>
      </c>
      <c r="J35" s="150">
        <f t="shared" si="20"/>
        <v>6915.8670451427197</v>
      </c>
      <c r="K35" s="150">
        <f t="shared" si="20"/>
        <v>7123.3430564970013</v>
      </c>
      <c r="L35" s="150">
        <f t="shared" si="20"/>
        <v>7337.0433481919117</v>
      </c>
      <c r="M35" s="257"/>
    </row>
    <row r="36" spans="1:13" x14ac:dyDescent="0.25">
      <c r="A36" s="46" t="s">
        <v>103</v>
      </c>
      <c r="B36" s="47"/>
      <c r="C36" s="47">
        <f t="shared" ref="C36:L36" si="21">C35/B35-1</f>
        <v>5.0000000000000044E-2</v>
      </c>
      <c r="D36" s="47">
        <f t="shared" si="21"/>
        <v>5.0000000000000044E-2</v>
      </c>
      <c r="E36" s="47">
        <f t="shared" si="21"/>
        <v>4.7500000000000098E-2</v>
      </c>
      <c r="F36" s="47">
        <f t="shared" si="21"/>
        <v>4.4999999999999929E-2</v>
      </c>
      <c r="G36" s="47">
        <f t="shared" si="21"/>
        <v>4.0000000000000036E-2</v>
      </c>
      <c r="H36" s="47">
        <f>H35/G35-1</f>
        <v>3.499999999999992E-2</v>
      </c>
      <c r="I36" s="47">
        <f t="shared" si="21"/>
        <v>3.2499999999999973E-2</v>
      </c>
      <c r="J36" s="47">
        <f t="shared" si="21"/>
        <v>3.125E-2</v>
      </c>
      <c r="K36" s="47">
        <f t="shared" si="21"/>
        <v>3.0000000000000027E-2</v>
      </c>
      <c r="L36" s="47">
        <f t="shared" si="21"/>
        <v>3.0000000000000027E-2</v>
      </c>
      <c r="M36" s="258"/>
    </row>
    <row r="37" spans="1:13" x14ac:dyDescent="0.25">
      <c r="A37" s="149" t="s">
        <v>80</v>
      </c>
      <c r="B37" s="150">
        <f>B21</f>
        <v>0</v>
      </c>
      <c r="C37" s="150">
        <f t="shared" ref="C37:L37" si="22">C21</f>
        <v>3252.5</v>
      </c>
      <c r="D37" s="150">
        <f t="shared" si="22"/>
        <v>3431.65625</v>
      </c>
      <c r="E37" s="150">
        <f t="shared" si="22"/>
        <v>3611.7082812500007</v>
      </c>
      <c r="F37" s="150">
        <f t="shared" si="22"/>
        <v>3791.7956269531255</v>
      </c>
      <c r="G37" s="150">
        <f t="shared" si="22"/>
        <v>3961.3563440000003</v>
      </c>
      <c r="H37" s="150">
        <f t="shared" si="22"/>
        <v>4118.1668192276557</v>
      </c>
      <c r="I37" s="150">
        <f t="shared" si="22"/>
        <v>4270.56047914381</v>
      </c>
      <c r="J37" s="150">
        <f t="shared" si="22"/>
        <v>4423.0239117299116</v>
      </c>
      <c r="K37" s="150">
        <f t="shared" si="22"/>
        <v>4575.1729867230515</v>
      </c>
      <c r="L37" s="150">
        <f t="shared" si="22"/>
        <v>4732.4207846952231</v>
      </c>
      <c r="M37" s="257"/>
    </row>
    <row r="38" spans="1:13" x14ac:dyDescent="0.25">
      <c r="A38" s="46" t="s">
        <v>82</v>
      </c>
      <c r="B38" s="47"/>
      <c r="C38" s="47"/>
      <c r="D38" s="47">
        <f t="shared" ref="D38:L38" si="23">D37/C37-1</f>
        <v>5.5082628747117557E-2</v>
      </c>
      <c r="E38" s="47">
        <f t="shared" si="23"/>
        <v>5.2467968273337551E-2</v>
      </c>
      <c r="F38" s="47">
        <f t="shared" si="23"/>
        <v>4.9862096182584636E-2</v>
      </c>
      <c r="G38" s="47">
        <f t="shared" si="23"/>
        <v>4.4717789071117231E-2</v>
      </c>
      <c r="H38" s="47">
        <f>H37/G37-1</f>
        <v>3.9585046537195634E-2</v>
      </c>
      <c r="I38" s="47">
        <f t="shared" si="23"/>
        <v>3.700521775966692E-2</v>
      </c>
      <c r="J38" s="47">
        <f t="shared" si="23"/>
        <v>3.5701035807990333E-2</v>
      </c>
      <c r="K38" s="47">
        <f t="shared" si="23"/>
        <v>3.4399333584798963E-2</v>
      </c>
      <c r="L38" s="47">
        <f t="shared" si="23"/>
        <v>3.4369803814740418E-2</v>
      </c>
      <c r="M38" s="258"/>
    </row>
    <row r="39" spans="1:13" x14ac:dyDescent="0.25">
      <c r="A39" s="46" t="s">
        <v>84</v>
      </c>
      <c r="B39" s="47"/>
      <c r="C39" s="47">
        <f>C22</f>
        <v>0.61952380952380948</v>
      </c>
      <c r="D39" s="47">
        <f t="shared" ref="D39:L39" si="24">D22</f>
        <v>0.62252267573696141</v>
      </c>
      <c r="E39" s="47">
        <f t="shared" si="24"/>
        <v>0.62547510810211115</v>
      </c>
      <c r="F39" s="47">
        <f t="shared" si="24"/>
        <v>0.62838527091111118</v>
      </c>
      <c r="G39" s="47">
        <f t="shared" si="24"/>
        <v>0.63123583741452993</v>
      </c>
      <c r="H39" s="47">
        <f t="shared" si="24"/>
        <v>0.63403221006234767</v>
      </c>
      <c r="I39" s="47">
        <f t="shared" si="24"/>
        <v>0.63679875066571212</v>
      </c>
      <c r="J39" s="47">
        <f t="shared" si="24"/>
        <v>0.63954727337281192</v>
      </c>
      <c r="K39" s="47">
        <f t="shared" si="24"/>
        <v>0.64227890618719596</v>
      </c>
      <c r="L39" s="47">
        <f t="shared" si="24"/>
        <v>0.64500379241475336</v>
      </c>
      <c r="M39" s="258"/>
    </row>
    <row r="40" spans="1:13" x14ac:dyDescent="0.25">
      <c r="A40" s="149" t="s">
        <v>85</v>
      </c>
      <c r="B40" s="150">
        <f>'Debt (Sans EF préc.)'!A2</f>
        <v>20000</v>
      </c>
      <c r="C40" s="150">
        <f>'Debt (Sans EF préc.)'!C21</f>
        <v>19580.950854015406</v>
      </c>
      <c r="D40" s="150">
        <f>'Debt (Sans EF préc.)'!D21</f>
        <v>19140.949250731584</v>
      </c>
      <c r="E40" s="150">
        <f>'Debt (Sans EF préc.)'!E21</f>
        <v>18678.947567283572</v>
      </c>
      <c r="F40" s="150">
        <f>'Debt (Sans EF préc.)'!F21</f>
        <v>18193.845799663159</v>
      </c>
      <c r="G40" s="150">
        <f>'Debt (Sans EF préc.)'!G21</f>
        <v>17684.488943661723</v>
      </c>
      <c r="H40" s="150">
        <f>'Debt (Sans EF préc.)'!H21</f>
        <v>17149.664244860218</v>
      </c>
      <c r="I40" s="150">
        <f>'Debt (Sans EF préc.)'!I21</f>
        <v>16588.098311118636</v>
      </c>
      <c r="J40" s="150">
        <f>'Debt (Sans EF préc.)'!J21</f>
        <v>15998.454080689975</v>
      </c>
      <c r="K40" s="150">
        <f>'Debt (Sans EF préc.)'!K21</f>
        <v>15379.327638739882</v>
      </c>
      <c r="L40" s="150">
        <f>'Debt (Sans EF préc.)'!L21</f>
        <v>14729.244874692284</v>
      </c>
      <c r="M40" s="257"/>
    </row>
    <row r="41" spans="1:13" x14ac:dyDescent="0.25">
      <c r="A41" s="146"/>
      <c r="B41" s="66"/>
      <c r="C41" s="42"/>
      <c r="D41" s="44"/>
      <c r="E41" s="42"/>
      <c r="F41" s="42"/>
      <c r="G41" s="42"/>
      <c r="H41" s="42"/>
      <c r="I41" s="43"/>
      <c r="J41" s="43"/>
      <c r="K41" s="43"/>
      <c r="L41" s="43"/>
      <c r="M41" s="43"/>
    </row>
    <row r="42" spans="1:13" x14ac:dyDescent="0.25">
      <c r="A42" s="146"/>
      <c r="B42" s="66"/>
      <c r="C42" s="42"/>
      <c r="D42" s="44"/>
      <c r="E42" s="42"/>
      <c r="F42" s="42"/>
      <c r="G42" s="42"/>
      <c r="H42" s="42"/>
      <c r="I42" s="43"/>
      <c r="J42" s="43"/>
      <c r="K42" s="43"/>
      <c r="L42" s="43"/>
      <c r="M42" s="43"/>
    </row>
    <row r="43" spans="1:13" x14ac:dyDescent="0.25">
      <c r="A43" s="146"/>
      <c r="B43" s="66"/>
      <c r="C43" s="42"/>
      <c r="D43" s="44"/>
      <c r="E43" s="42"/>
      <c r="F43" s="42"/>
      <c r="G43" s="42"/>
      <c r="H43" s="42"/>
      <c r="I43" s="43"/>
      <c r="J43" s="43"/>
      <c r="K43" s="43"/>
      <c r="L43" s="43"/>
      <c r="M43" s="43"/>
    </row>
    <row r="44" spans="1:13" x14ac:dyDescent="0.25">
      <c r="A44" s="145"/>
      <c r="B44" s="143"/>
      <c r="C44" s="42"/>
      <c r="D44" s="44"/>
      <c r="E44" s="42"/>
      <c r="F44" s="42"/>
      <c r="G44" s="42"/>
      <c r="H44" s="42"/>
      <c r="I44" s="42"/>
      <c r="J44" s="42"/>
      <c r="K44" s="42"/>
      <c r="L44" s="42"/>
      <c r="M44" s="42"/>
    </row>
    <row r="45" spans="1:13" x14ac:dyDescent="0.25">
      <c r="A45" s="145"/>
      <c r="B45" s="143"/>
      <c r="C45" s="42"/>
      <c r="D45" s="44"/>
      <c r="E45" s="42"/>
      <c r="F45" s="42"/>
      <c r="G45" s="42"/>
      <c r="H45" s="42"/>
      <c r="I45" s="42"/>
      <c r="J45" s="42"/>
      <c r="K45" s="42"/>
      <c r="L45" s="42"/>
      <c r="M45" s="42"/>
    </row>
    <row r="46" spans="1:13" x14ac:dyDescent="0.25">
      <c r="A46" s="147"/>
      <c r="B46" s="66"/>
      <c r="C46" s="42"/>
      <c r="D46" s="43"/>
      <c r="E46" s="42"/>
      <c r="F46" s="42"/>
      <c r="G46" s="42"/>
      <c r="H46" s="42"/>
      <c r="I46" s="42"/>
      <c r="J46" s="42"/>
      <c r="K46" s="42"/>
      <c r="L46" s="42"/>
      <c r="M46" s="42"/>
    </row>
    <row r="47" spans="1:13" x14ac:dyDescent="0.25">
      <c r="A47" s="145"/>
      <c r="B47" s="144"/>
      <c r="C47" s="42"/>
      <c r="D47" s="44"/>
      <c r="E47" s="42"/>
      <c r="F47" s="42"/>
      <c r="G47" s="42"/>
      <c r="H47" s="42"/>
      <c r="I47" s="42"/>
      <c r="J47" s="42"/>
      <c r="K47" s="42"/>
      <c r="L47" s="42"/>
      <c r="M47" s="42"/>
    </row>
    <row r="49" spans="1:13" ht="21.75" thickBot="1" x14ac:dyDescent="0.4">
      <c r="A49" s="157" t="s">
        <v>182</v>
      </c>
      <c r="B49" s="33"/>
      <c r="C49" s="33"/>
      <c r="D49" s="33"/>
      <c r="E49" s="33"/>
      <c r="F49" s="33"/>
      <c r="G49" s="33"/>
      <c r="H49" s="33"/>
      <c r="I49" s="33"/>
      <c r="J49" s="33"/>
      <c r="K49" s="33"/>
      <c r="L49" s="33"/>
      <c r="M49" s="34"/>
    </row>
    <row r="50" spans="1:13" ht="3.6" customHeight="1" x14ac:dyDescent="0.25">
      <c r="A50" s="34"/>
      <c r="B50" s="34"/>
      <c r="C50" s="34"/>
      <c r="D50" s="34"/>
      <c r="E50" s="34"/>
      <c r="F50" s="34"/>
      <c r="G50" s="34"/>
      <c r="H50" s="34"/>
      <c r="I50" s="34"/>
      <c r="J50" s="34"/>
      <c r="K50" s="34"/>
      <c r="L50" s="34"/>
      <c r="M50" s="34"/>
    </row>
    <row r="51" spans="1:13" x14ac:dyDescent="0.25">
      <c r="C51" s="216">
        <f>'3 Financial statements'!J2</f>
        <v>2019</v>
      </c>
      <c r="D51" s="217">
        <f>'3 Financial statements'!K2</f>
        <v>2020</v>
      </c>
      <c r="E51" s="217">
        <f>'3 Financial statements'!L2</f>
        <v>2021</v>
      </c>
      <c r="F51" s="217">
        <f>'3 Financial statements'!M2</f>
        <v>2022</v>
      </c>
      <c r="G51" s="217">
        <f>'3 Financial statements'!N2</f>
        <v>2023</v>
      </c>
      <c r="H51" s="217">
        <f>'3 Financial statements'!O2</f>
        <v>2024</v>
      </c>
      <c r="I51" s="217">
        <f>'3 Financial statements'!P2</f>
        <v>2025</v>
      </c>
      <c r="J51" s="217">
        <f>'3 Financial statements'!Q2</f>
        <v>2026</v>
      </c>
      <c r="K51" s="217">
        <f>'3 Financial statements'!R2</f>
        <v>2027</v>
      </c>
      <c r="L51" s="218">
        <f>'3 Financial statements'!S2</f>
        <v>2028</v>
      </c>
    </row>
    <row r="52" spans="1:13" x14ac:dyDescent="0.25">
      <c r="C52" s="104">
        <f>'3 Financial statements'!J3</f>
        <v>1</v>
      </c>
      <c r="D52" s="222">
        <f>'3 Financial statements'!K3</f>
        <v>2</v>
      </c>
      <c r="E52" s="222">
        <f>'3 Financial statements'!L3</f>
        <v>3</v>
      </c>
      <c r="F52" s="222">
        <f>'3 Financial statements'!M3</f>
        <v>4</v>
      </c>
      <c r="G52" s="222">
        <f>'3 Financial statements'!N3</f>
        <v>5</v>
      </c>
      <c r="H52" s="222">
        <f>'3 Financial statements'!O3</f>
        <v>6</v>
      </c>
      <c r="I52" s="222">
        <f>'3 Financial statements'!P3</f>
        <v>7</v>
      </c>
      <c r="J52" s="222">
        <f>'3 Financial statements'!Q3</f>
        <v>8</v>
      </c>
      <c r="K52" s="222">
        <f>'3 Financial statements'!R3</f>
        <v>9</v>
      </c>
      <c r="L52" s="106">
        <f>'3 Financial statements'!S3</f>
        <v>10</v>
      </c>
    </row>
    <row r="53" spans="1:13" x14ac:dyDescent="0.25">
      <c r="A53" t="s">
        <v>70</v>
      </c>
      <c r="C53" s="4">
        <f t="shared" ref="C53:L53" si="25">C24*(1-C9)</f>
        <v>2266.1999999999998</v>
      </c>
      <c r="D53" s="4">
        <f t="shared" si="25"/>
        <v>2391.4124999999999</v>
      </c>
      <c r="E53" s="4">
        <f t="shared" si="25"/>
        <v>2517.2794125000005</v>
      </c>
      <c r="F53" s="4">
        <f t="shared" si="25"/>
        <v>2643.2005266562505</v>
      </c>
      <c r="G53" s="4">
        <f t="shared" si="25"/>
        <v>2761.8085499399999</v>
      </c>
      <c r="H53" s="4">
        <f t="shared" si="25"/>
        <v>2871.5492114830117</v>
      </c>
      <c r="I53" s="4">
        <f t="shared" si="25"/>
        <v>2978.2328924259141</v>
      </c>
      <c r="J53" s="4">
        <f t="shared" si="25"/>
        <v>3084.9887309954811</v>
      </c>
      <c r="K53" s="4">
        <f t="shared" si="25"/>
        <v>3191.5484104270399</v>
      </c>
      <c r="L53" s="4">
        <f t="shared" si="25"/>
        <v>3301.689540766597</v>
      </c>
    </row>
    <row r="54" spans="1:13" x14ac:dyDescent="0.25">
      <c r="A54" t="s">
        <v>42</v>
      </c>
      <c r="C54" s="4">
        <f>C23</f>
        <v>105</v>
      </c>
      <c r="D54" s="4">
        <f t="shared" ref="D54:L54" si="26">D23</f>
        <v>110.25</v>
      </c>
      <c r="E54" s="4">
        <f t="shared" si="26"/>
        <v>115.48687500000003</v>
      </c>
      <c r="F54" s="4">
        <f t="shared" si="26"/>
        <v>120.68378437500002</v>
      </c>
      <c r="G54" s="4">
        <f t="shared" si="26"/>
        <v>125.51113575000001</v>
      </c>
      <c r="H54" s="4">
        <f t="shared" si="26"/>
        <v>129.90402550125</v>
      </c>
      <c r="I54" s="4">
        <f t="shared" si="26"/>
        <v>134.12590633004061</v>
      </c>
      <c r="J54" s="4">
        <f t="shared" si="26"/>
        <v>138.3173409028544</v>
      </c>
      <c r="K54" s="4">
        <f t="shared" si="26"/>
        <v>142.46686112994004</v>
      </c>
      <c r="L54" s="4">
        <f t="shared" si="26"/>
        <v>146.74086696383824</v>
      </c>
    </row>
    <row r="55" spans="1:13" x14ac:dyDescent="0.25">
      <c r="A55" t="s">
        <v>71</v>
      </c>
      <c r="C55" s="4">
        <f>C10</f>
        <v>25</v>
      </c>
      <c r="D55" s="4">
        <f t="shared" ref="D55:L55" si="27">D10</f>
        <v>26.25</v>
      </c>
      <c r="E55" s="4">
        <f t="shared" si="27"/>
        <v>26.184375000000092</v>
      </c>
      <c r="F55" s="4">
        <f t="shared" si="27"/>
        <v>25.984546874999978</v>
      </c>
      <c r="G55" s="4">
        <f t="shared" si="27"/>
        <v>24.136756874999993</v>
      </c>
      <c r="H55" s="4">
        <f t="shared" si="27"/>
        <v>21.964448756249933</v>
      </c>
      <c r="I55" s="4">
        <f t="shared" si="27"/>
        <v>21.109404143953089</v>
      </c>
      <c r="J55" s="4">
        <f t="shared" si="27"/>
        <v>20.957172864068891</v>
      </c>
      <c r="K55" s="4">
        <f t="shared" si="27"/>
        <v>20.747601135428159</v>
      </c>
      <c r="L55" s="4">
        <f t="shared" si="27"/>
        <v>21.370029169491048</v>
      </c>
    </row>
    <row r="56" spans="1:13" x14ac:dyDescent="0.25">
      <c r="A56" t="s">
        <v>72</v>
      </c>
      <c r="C56" s="4">
        <f>C11</f>
        <v>18.75</v>
      </c>
      <c r="D56" s="4">
        <f t="shared" ref="D56:L56" si="28">D11</f>
        <v>19.6875</v>
      </c>
      <c r="E56" s="4">
        <f t="shared" si="28"/>
        <v>19.638281250000066</v>
      </c>
      <c r="F56" s="4">
        <f t="shared" si="28"/>
        <v>19.488410156249984</v>
      </c>
      <c r="G56" s="4">
        <f t="shared" si="28"/>
        <v>18.102567656249992</v>
      </c>
      <c r="H56" s="4">
        <f t="shared" si="28"/>
        <v>16.473336567187449</v>
      </c>
      <c r="I56" s="4">
        <f t="shared" si="28"/>
        <v>15.832053107964816</v>
      </c>
      <c r="J56" s="4">
        <f t="shared" si="28"/>
        <v>15.717879648051666</v>
      </c>
      <c r="K56" s="4">
        <f t="shared" si="28"/>
        <v>15.560700851571118</v>
      </c>
      <c r="L56" s="4">
        <f t="shared" si="28"/>
        <v>16.027521877118282</v>
      </c>
    </row>
    <row r="57" spans="1:13" x14ac:dyDescent="0.25">
      <c r="A57" s="98" t="s">
        <v>74</v>
      </c>
      <c r="B57" s="138"/>
      <c r="C57" s="99">
        <f>C53+C54-C55-C56</f>
        <v>2327.4499999999998</v>
      </c>
      <c r="D57" s="99">
        <f t="shared" ref="D57:L57" si="29">D53+D54-D55-D56</f>
        <v>2455.7249999999999</v>
      </c>
      <c r="E57" s="99">
        <f t="shared" si="29"/>
        <v>2586.9436312500002</v>
      </c>
      <c r="F57" s="99">
        <f t="shared" si="29"/>
        <v>2718.4113540000008</v>
      </c>
      <c r="G57" s="99">
        <f t="shared" si="29"/>
        <v>2845.0803611587498</v>
      </c>
      <c r="H57" s="99">
        <f t="shared" si="29"/>
        <v>2963.0154516608245</v>
      </c>
      <c r="I57" s="99">
        <f t="shared" si="29"/>
        <v>3075.4173415040368</v>
      </c>
      <c r="J57" s="99">
        <f t="shared" si="29"/>
        <v>3186.631019386215</v>
      </c>
      <c r="K57" s="99">
        <f t="shared" si="29"/>
        <v>3297.7069695699802</v>
      </c>
      <c r="L57" s="100">
        <f t="shared" si="29"/>
        <v>3411.0328566838257</v>
      </c>
    </row>
    <row r="58" spans="1:13" x14ac:dyDescent="0.25">
      <c r="A58" t="s">
        <v>87</v>
      </c>
      <c r="C58" s="25">
        <f>$L$66</f>
        <v>0.1085483193185794</v>
      </c>
      <c r="D58" s="25">
        <f t="shared" ref="D58:L58" si="30">$L$66</f>
        <v>0.1085483193185794</v>
      </c>
      <c r="E58" s="25">
        <f t="shared" si="30"/>
        <v>0.1085483193185794</v>
      </c>
      <c r="F58" s="25">
        <f t="shared" si="30"/>
        <v>0.1085483193185794</v>
      </c>
      <c r="G58" s="25">
        <f t="shared" si="30"/>
        <v>0.1085483193185794</v>
      </c>
      <c r="H58" s="25">
        <f t="shared" si="30"/>
        <v>0.1085483193185794</v>
      </c>
      <c r="I58" s="25">
        <f t="shared" si="30"/>
        <v>0.1085483193185794</v>
      </c>
      <c r="J58" s="25">
        <f t="shared" si="30"/>
        <v>0.1085483193185794</v>
      </c>
      <c r="K58" s="25">
        <f t="shared" si="30"/>
        <v>0.1085483193185794</v>
      </c>
      <c r="L58" s="25">
        <f t="shared" si="30"/>
        <v>0.1085483193185794</v>
      </c>
    </row>
    <row r="59" spans="1:13" x14ac:dyDescent="0.25">
      <c r="A59" t="s">
        <v>165</v>
      </c>
      <c r="C59" s="20">
        <f t="shared" ref="C59:L59" si="31">(1+C58)^-C52</f>
        <v>0.90208066042145674</v>
      </c>
      <c r="D59" s="20">
        <f t="shared" si="31"/>
        <v>0.81374951790641148</v>
      </c>
      <c r="E59" s="20">
        <f t="shared" si="31"/>
        <v>0.73406770253065767</v>
      </c>
      <c r="F59" s="20">
        <f t="shared" si="31"/>
        <v>0.66218827789291712</v>
      </c>
      <c r="G59" s="20">
        <f t="shared" si="31"/>
        <v>0.59734723904498976</v>
      </c>
      <c r="H59" s="20">
        <f t="shared" si="31"/>
        <v>0.53885539189863818</v>
      </c>
      <c r="I59" s="20">
        <f t="shared" si="31"/>
        <v>0.48609102779558638</v>
      </c>
      <c r="J59" s="20">
        <f t="shared" si="31"/>
        <v>0.43849331537878727</v>
      </c>
      <c r="K59" s="20">
        <f t="shared" si="31"/>
        <v>0.39555633952729052</v>
      </c>
      <c r="L59" s="20">
        <f t="shared" si="31"/>
        <v>0.35682372399467222</v>
      </c>
    </row>
    <row r="60" spans="1:13" x14ac:dyDescent="0.25">
      <c r="A60" s="98" t="s">
        <v>92</v>
      </c>
      <c r="B60" s="138"/>
      <c r="C60" s="99">
        <f t="shared" ref="C60:L60" si="32">C57*C59</f>
        <v>2099.5476330979195</v>
      </c>
      <c r="D60" s="99">
        <f t="shared" si="32"/>
        <v>1998.3450348607223</v>
      </c>
      <c r="E60" s="99">
        <f t="shared" si="32"/>
        <v>1898.9917679680045</v>
      </c>
      <c r="F60" s="99">
        <f t="shared" si="32"/>
        <v>1800.1001331098137</v>
      </c>
      <c r="G60" s="99">
        <f t="shared" si="32"/>
        <v>1699.5008985993015</v>
      </c>
      <c r="H60" s="99">
        <f t="shared" si="32"/>
        <v>1596.6368524064139</v>
      </c>
      <c r="I60" s="99">
        <f t="shared" si="32"/>
        <v>1494.9327764320672</v>
      </c>
      <c r="J60" s="99">
        <f t="shared" si="32"/>
        <v>1397.3164005795459</v>
      </c>
      <c r="K60" s="99">
        <f t="shared" si="32"/>
        <v>1304.4288977167355</v>
      </c>
      <c r="L60" s="100">
        <f t="shared" si="32"/>
        <v>1217.1374465901076</v>
      </c>
    </row>
    <row r="61" spans="1:13" x14ac:dyDescent="0.25">
      <c r="B61" s="4"/>
      <c r="C61" s="4"/>
      <c r="D61" s="4"/>
      <c r="E61" s="4"/>
      <c r="F61" s="4"/>
      <c r="G61" s="4"/>
      <c r="H61" s="4"/>
      <c r="I61" s="4"/>
      <c r="J61" s="4"/>
      <c r="K61" s="4"/>
      <c r="L61" s="4"/>
    </row>
    <row r="62" spans="1:13" x14ac:dyDescent="0.25">
      <c r="G62" s="4"/>
      <c r="H62" s="4"/>
      <c r="I62" s="4"/>
      <c r="J62" s="4"/>
      <c r="K62" s="4"/>
      <c r="L62" s="4"/>
    </row>
    <row r="63" spans="1:13" x14ac:dyDescent="0.25">
      <c r="A63" s="281" t="s">
        <v>159</v>
      </c>
      <c r="B63" s="281"/>
      <c r="D63" s="281" t="s">
        <v>169</v>
      </c>
      <c r="E63" s="281"/>
      <c r="F63" s="281"/>
      <c r="G63" s="281"/>
      <c r="H63" s="4"/>
      <c r="I63" s="281" t="s">
        <v>177</v>
      </c>
      <c r="J63" s="281"/>
      <c r="K63" s="281"/>
      <c r="L63" s="281"/>
    </row>
    <row r="64" spans="1:13" ht="4.5" customHeight="1" thickBot="1" x14ac:dyDescent="0.3">
      <c r="A64" s="139"/>
      <c r="B64" s="139"/>
      <c r="D64" s="139"/>
      <c r="E64" s="139"/>
      <c r="F64" s="139"/>
      <c r="G64" s="139"/>
      <c r="H64" s="4"/>
      <c r="I64" s="139"/>
      <c r="J64" s="139"/>
      <c r="K64" s="139"/>
      <c r="L64" s="139"/>
    </row>
    <row r="65" spans="1:12" ht="15.75" thickTop="1" x14ac:dyDescent="0.25">
      <c r="A65" s="61" t="s">
        <v>160</v>
      </c>
      <c r="B65" s="60">
        <f>SUM(C60:L60)</f>
        <v>16506.937841360632</v>
      </c>
      <c r="D65" t="s">
        <v>170</v>
      </c>
      <c r="G65" s="4">
        <f>B75</f>
        <v>30860.377908550909</v>
      </c>
      <c r="H65" s="4"/>
      <c r="I65" s="10" t="s">
        <v>178</v>
      </c>
      <c r="J65" s="4"/>
      <c r="K65" s="4"/>
      <c r="L65" s="4">
        <f>L57</f>
        <v>3411.0328566838257</v>
      </c>
    </row>
    <row r="66" spans="1:12" x14ac:dyDescent="0.25">
      <c r="A66" s="137" t="s">
        <v>167</v>
      </c>
      <c r="B66" s="154">
        <f>B65/B75</f>
        <v>0.53489098190164508</v>
      </c>
      <c r="D66" t="s">
        <v>171</v>
      </c>
      <c r="G66" s="140">
        <f>B40</f>
        <v>20000</v>
      </c>
      <c r="H66" s="4"/>
      <c r="I66" s="10" t="s">
        <v>87</v>
      </c>
      <c r="J66" s="4"/>
      <c r="K66" s="4"/>
      <c r="L66" s="25">
        <f>WACC!B16</f>
        <v>0.1085483193185794</v>
      </c>
    </row>
    <row r="67" spans="1:12" x14ac:dyDescent="0.25">
      <c r="A67" s="120" t="s">
        <v>161</v>
      </c>
      <c r="B67" s="108"/>
      <c r="D67" t="s">
        <v>172</v>
      </c>
      <c r="G67" s="229">
        <v>0</v>
      </c>
      <c r="H67" s="4"/>
      <c r="I67" s="10" t="s">
        <v>161</v>
      </c>
      <c r="J67" s="4"/>
      <c r="K67" s="4"/>
      <c r="L67" s="4">
        <f>B70</f>
        <v>40225.576669909395</v>
      </c>
    </row>
    <row r="68" spans="1:12" x14ac:dyDescent="0.25">
      <c r="A68" t="s">
        <v>162</v>
      </c>
      <c r="B68" s="4">
        <f>L37</f>
        <v>4732.4207846952231</v>
      </c>
      <c r="D68" t="s">
        <v>173</v>
      </c>
      <c r="G68" s="229">
        <v>0</v>
      </c>
      <c r="H68" s="4"/>
      <c r="I68" s="10"/>
      <c r="J68" s="4"/>
      <c r="K68" s="4"/>
      <c r="L68" s="4"/>
    </row>
    <row r="69" spans="1:12" x14ac:dyDescent="0.25">
      <c r="A69" t="s">
        <v>163</v>
      </c>
      <c r="B69" s="228">
        <v>8.5</v>
      </c>
      <c r="G69" s="4"/>
      <c r="H69" s="2"/>
      <c r="I69" s="219" t="s">
        <v>177</v>
      </c>
      <c r="J69" s="2"/>
      <c r="K69" s="2"/>
      <c r="L69" s="156">
        <f>(L67*L66-L65)/(L67+L65)</f>
        <v>2.1894136478987025E-2</v>
      </c>
    </row>
    <row r="70" spans="1:12" x14ac:dyDescent="0.25">
      <c r="A70" s="61" t="s">
        <v>164</v>
      </c>
      <c r="B70" s="151">
        <f>B68*B69</f>
        <v>40225.576669909395</v>
      </c>
      <c r="G70" s="3"/>
      <c r="I70" s="9"/>
      <c r="L70" s="3"/>
    </row>
    <row r="71" spans="1:12" x14ac:dyDescent="0.25">
      <c r="A71" t="s">
        <v>165</v>
      </c>
      <c r="B71" s="20">
        <f>L59</f>
        <v>0.35682372399467222</v>
      </c>
      <c r="D71" s="61" t="s">
        <v>174</v>
      </c>
      <c r="G71" s="153">
        <f>G65-G66-G67+G68</f>
        <v>10860.377908550909</v>
      </c>
      <c r="I71" s="281" t="s">
        <v>106</v>
      </c>
      <c r="J71" s="281"/>
      <c r="K71" s="281"/>
      <c r="L71" s="281"/>
    </row>
    <row r="72" spans="1:12" x14ac:dyDescent="0.25">
      <c r="A72" s="61" t="s">
        <v>166</v>
      </c>
      <c r="B72" s="152">
        <f>B70*B71</f>
        <v>14353.440067190275</v>
      </c>
      <c r="G72" s="3"/>
      <c r="I72" s="9" t="s">
        <v>170</v>
      </c>
      <c r="L72" s="4">
        <f>B75</f>
        <v>30860.377908550909</v>
      </c>
    </row>
    <row r="73" spans="1:12" x14ac:dyDescent="0.25">
      <c r="A73" s="137" t="s">
        <v>167</v>
      </c>
      <c r="B73" s="154">
        <f>B72/B75</f>
        <v>0.46510901809835486</v>
      </c>
      <c r="D73" t="s">
        <v>175</v>
      </c>
      <c r="G73" s="230">
        <v>10000</v>
      </c>
      <c r="I73" s="9" t="s">
        <v>216</v>
      </c>
      <c r="L73" s="64">
        <f>C37</f>
        <v>3252.5</v>
      </c>
    </row>
    <row r="74" spans="1:12" x14ac:dyDescent="0.25">
      <c r="B74" s="3"/>
      <c r="G74" s="3"/>
      <c r="I74" s="9"/>
      <c r="L74" s="3"/>
    </row>
    <row r="75" spans="1:12" x14ac:dyDescent="0.25">
      <c r="A75" s="61" t="s">
        <v>168</v>
      </c>
      <c r="B75" s="153">
        <f>B65+B72</f>
        <v>30860.377908550909</v>
      </c>
      <c r="D75" s="61" t="s">
        <v>180</v>
      </c>
      <c r="G75" s="155">
        <f>G71/G73</f>
        <v>1.0860377908550909</v>
      </c>
      <c r="I75" s="142" t="s">
        <v>106</v>
      </c>
      <c r="L75" s="155">
        <f>L72/L73</f>
        <v>9.488202277801971</v>
      </c>
    </row>
    <row r="78" spans="1:12" hidden="1" x14ac:dyDescent="0.25">
      <c r="B78" s="59" t="s">
        <v>181</v>
      </c>
      <c r="C78" s="60" t="s">
        <v>94</v>
      </c>
      <c r="D78" s="4"/>
      <c r="E78" s="280" t="s">
        <v>106</v>
      </c>
      <c r="F78" s="280"/>
      <c r="H78" s="74">
        <v>2.5000000000000001E-2</v>
      </c>
    </row>
    <row r="79" spans="1:12" hidden="1" x14ac:dyDescent="0.25">
      <c r="A79" s="61" t="s">
        <v>93</v>
      </c>
      <c r="B79" s="4">
        <f>(L57*(1+H78))/(L66-H78)</f>
        <v>41847.743995532597</v>
      </c>
      <c r="C79" s="4">
        <f>B79*L59</f>
        <v>14932.267853261625</v>
      </c>
      <c r="D79" s="4"/>
      <c r="E79" s="10" t="s">
        <v>80</v>
      </c>
      <c r="F79" s="4">
        <f>B37</f>
        <v>0</v>
      </c>
    </row>
    <row r="80" spans="1:12" hidden="1" x14ac:dyDescent="0.25">
      <c r="B80" s="4"/>
      <c r="C80" s="4"/>
      <c r="D80" s="4"/>
      <c r="E80" s="10" t="s">
        <v>107</v>
      </c>
      <c r="F80" s="4">
        <f>B83</f>
        <v>31439.205694622258</v>
      </c>
    </row>
    <row r="81" spans="1:6" hidden="1" x14ac:dyDescent="0.25">
      <c r="A81" t="s">
        <v>92</v>
      </c>
      <c r="B81" s="4">
        <f>SUM(C60:L60)</f>
        <v>16506.937841360632</v>
      </c>
      <c r="C81" s="23">
        <f>B81/B83</f>
        <v>0.5250430943356873</v>
      </c>
      <c r="D81" s="4"/>
      <c r="E81" s="219" t="s">
        <v>108</v>
      </c>
      <c r="F81" s="71" t="e">
        <f>F80/F79</f>
        <v>#DIV/0!</v>
      </c>
    </row>
    <row r="82" spans="1:6" hidden="1" x14ac:dyDescent="0.25">
      <c r="A82" t="s">
        <v>95</v>
      </c>
      <c r="B82" s="4">
        <f>C79</f>
        <v>14932.267853261625</v>
      </c>
      <c r="C82" s="23">
        <f>B82/B83</f>
        <v>0.47495690566431265</v>
      </c>
      <c r="D82" s="4"/>
      <c r="E82" s="4"/>
      <c r="F82" s="4"/>
    </row>
    <row r="83" spans="1:6" ht="15.75" hidden="1" thickBot="1" x14ac:dyDescent="0.3">
      <c r="A83" s="62" t="s">
        <v>96</v>
      </c>
      <c r="B83" s="8">
        <f>SUM(B81:B82)</f>
        <v>31439.205694622258</v>
      </c>
      <c r="C83" s="63">
        <f>B83/B83</f>
        <v>1</v>
      </c>
      <c r="D83" s="4"/>
      <c r="E83" s="4"/>
      <c r="F83" s="4"/>
    </row>
    <row r="84" spans="1:6" hidden="1" x14ac:dyDescent="0.25">
      <c r="B84" s="2"/>
      <c r="C84" s="2"/>
      <c r="D84" s="2"/>
      <c r="E84" s="2"/>
      <c r="F84" s="2"/>
    </row>
    <row r="85" spans="1:6" hidden="1" x14ac:dyDescent="0.25"/>
    <row r="86" spans="1:6" hidden="1" x14ac:dyDescent="0.25">
      <c r="A86" s="279" t="s">
        <v>97</v>
      </c>
      <c r="B86" s="279"/>
      <c r="C86" s="279"/>
    </row>
    <row r="87" spans="1:6" hidden="1" x14ac:dyDescent="0.25">
      <c r="A87" t="str">
        <f>A83</f>
        <v>Valeur totale de la firme</v>
      </c>
      <c r="C87" s="4">
        <f>B83</f>
        <v>31439.205694622258</v>
      </c>
    </row>
    <row r="88" spans="1:6" hidden="1" x14ac:dyDescent="0.25">
      <c r="A88" t="s">
        <v>98</v>
      </c>
      <c r="C88" s="64">
        <f>B40</f>
        <v>20000</v>
      </c>
    </row>
    <row r="89" spans="1:6" hidden="1" x14ac:dyDescent="0.25">
      <c r="A89" t="s">
        <v>105</v>
      </c>
      <c r="C89" s="64"/>
    </row>
    <row r="90" spans="1:6" hidden="1" x14ac:dyDescent="0.25">
      <c r="A90" t="s">
        <v>99</v>
      </c>
      <c r="C90" s="4">
        <f>'3 Financial statements'!J78</f>
        <v>239550</v>
      </c>
    </row>
    <row r="91" spans="1:6" hidden="1" x14ac:dyDescent="0.25">
      <c r="A91" s="65" t="s">
        <v>100</v>
      </c>
      <c r="B91" s="61"/>
      <c r="C91" s="60">
        <f>C87-C88-C89+C90</f>
        <v>250989.20569462224</v>
      </c>
    </row>
    <row r="92" spans="1:6" hidden="1" x14ac:dyDescent="0.25">
      <c r="C92" s="3"/>
    </row>
    <row r="93" spans="1:6" hidden="1" x14ac:dyDescent="0.25">
      <c r="A93" t="s">
        <v>101</v>
      </c>
      <c r="C93" s="4">
        <v>100000</v>
      </c>
    </row>
    <row r="94" spans="1:6" hidden="1" x14ac:dyDescent="0.25">
      <c r="C94" s="3"/>
    </row>
    <row r="95" spans="1:6" hidden="1" x14ac:dyDescent="0.25">
      <c r="A95" s="67" t="s">
        <v>102</v>
      </c>
      <c r="B95" s="67"/>
      <c r="C95" s="68">
        <f>C91/C93</f>
        <v>2.5098920569462226</v>
      </c>
    </row>
    <row r="99" spans="15:35" x14ac:dyDescent="0.25">
      <c r="U99" s="270" t="s">
        <v>170</v>
      </c>
      <c r="V99" s="271"/>
      <c r="W99" s="271"/>
      <c r="X99" s="271"/>
      <c r="Y99" s="271"/>
      <c r="Z99" s="271"/>
      <c r="AA99" s="271"/>
      <c r="AC99" s="270" t="s">
        <v>177</v>
      </c>
      <c r="AD99" s="271"/>
      <c r="AE99" s="271"/>
      <c r="AF99" s="271"/>
      <c r="AG99" s="271"/>
      <c r="AH99" s="271"/>
      <c r="AI99" s="271"/>
    </row>
    <row r="100" spans="15:35" ht="3" customHeight="1" thickBot="1" x14ac:dyDescent="0.3">
      <c r="U100" s="159"/>
      <c r="V100" s="159"/>
      <c r="W100" s="159"/>
      <c r="X100" s="159"/>
      <c r="Y100" s="159"/>
      <c r="Z100" s="159"/>
      <c r="AA100" s="159"/>
      <c r="AC100" s="159"/>
      <c r="AD100" s="159"/>
      <c r="AE100" s="159"/>
      <c r="AF100" s="159"/>
      <c r="AG100" s="159"/>
      <c r="AH100" s="159"/>
      <c r="AI100" s="159"/>
    </row>
    <row r="101" spans="15:35" ht="3" customHeight="1" thickTop="1" x14ac:dyDescent="0.25"/>
    <row r="102" spans="15:35" x14ac:dyDescent="0.25">
      <c r="W102" s="270" t="s">
        <v>163</v>
      </c>
      <c r="X102" s="271"/>
      <c r="Y102" s="271"/>
      <c r="Z102" s="271"/>
      <c r="AA102" s="272"/>
      <c r="AE102" s="270" t="s">
        <v>163</v>
      </c>
      <c r="AF102" s="271"/>
      <c r="AG102" s="271"/>
      <c r="AH102" s="271"/>
      <c r="AI102" s="272"/>
    </row>
    <row r="103" spans="15:35" x14ac:dyDescent="0.25">
      <c r="V103" s="76">
        <f>B75</f>
        <v>30860.377908550909</v>
      </c>
      <c r="W103" s="160">
        <v>7.5</v>
      </c>
      <c r="X103" s="161">
        <v>8</v>
      </c>
      <c r="Y103" s="161">
        <v>8.5</v>
      </c>
      <c r="Z103" s="161">
        <v>9</v>
      </c>
      <c r="AA103" s="162">
        <v>9.5</v>
      </c>
      <c r="AD103" s="76">
        <f>L69</f>
        <v>2.1894136478987025E-2</v>
      </c>
      <c r="AE103" s="160">
        <f>W103</f>
        <v>7.5</v>
      </c>
      <c r="AF103" s="161">
        <f t="shared" ref="AF103:AI103" si="33">X103</f>
        <v>8</v>
      </c>
      <c r="AG103" s="161">
        <f t="shared" si="33"/>
        <v>8.5</v>
      </c>
      <c r="AH103" s="161">
        <f t="shared" si="33"/>
        <v>9</v>
      </c>
      <c r="AI103" s="162">
        <f t="shared" si="33"/>
        <v>9.5</v>
      </c>
    </row>
    <row r="104" spans="15:35" ht="15" customHeight="1" thickBot="1" x14ac:dyDescent="0.3">
      <c r="U104" s="276" t="s">
        <v>87</v>
      </c>
      <c r="V104" s="91">
        <v>0.1</v>
      </c>
      <c r="W104" s="163">
        <f t="dataTable" ref="W104:AA108" dt2D="1" dtr="1" r1="B69" r2="L66" ca="1"/>
        <v>30847.385876189706</v>
      </c>
      <c r="X104" s="163">
        <v>31759.662414337748</v>
      </c>
      <c r="Y104" s="163">
        <v>32671.938952485783</v>
      </c>
      <c r="Z104" s="163">
        <v>33584.215490633826</v>
      </c>
      <c r="AA104" s="164">
        <v>34496.492028781868</v>
      </c>
      <c r="AC104" s="276" t="s">
        <v>87</v>
      </c>
      <c r="AD104" s="91">
        <v>0.1</v>
      </c>
      <c r="AE104" s="176">
        <f t="dataTable" ref="AE104:AI108" dt2D="1" dtr="1" r1="B69" r2="L66" ca="1"/>
        <v>3.5544432697209292E-3</v>
      </c>
      <c r="AF104" s="176">
        <v>9.0840839666428801E-3</v>
      </c>
      <c r="AG104" s="176">
        <v>1.401403126735673E-2</v>
      </c>
      <c r="AH104" s="176">
        <v>1.843682302598729E-2</v>
      </c>
      <c r="AI104" s="177">
        <v>2.2426889309035237E-2</v>
      </c>
    </row>
    <row r="105" spans="15:35" ht="15.75" thickBot="1" x14ac:dyDescent="0.3">
      <c r="U105" s="277"/>
      <c r="V105" s="92">
        <v>0.105</v>
      </c>
      <c r="W105" s="163">
        <v>29852.076494179048</v>
      </c>
      <c r="X105" s="165">
        <v>30723.904021094706</v>
      </c>
      <c r="Y105" s="166">
        <v>31595.731548010368</v>
      </c>
      <c r="Z105" s="167">
        <v>32467.55907492603</v>
      </c>
      <c r="AA105" s="164">
        <v>33339.386601841688</v>
      </c>
      <c r="AC105" s="277"/>
      <c r="AD105" s="92">
        <v>0.105</v>
      </c>
      <c r="AE105" s="176">
        <v>8.1160543754923813E-3</v>
      </c>
      <c r="AF105" s="178">
        <v>1.3670829802854887E-2</v>
      </c>
      <c r="AG105" s="179">
        <v>1.8623185954935607E-2</v>
      </c>
      <c r="AH105" s="180">
        <v>2.3066081312469032E-2</v>
      </c>
      <c r="AI105" s="177">
        <v>2.7074284260439944E-2</v>
      </c>
    </row>
    <row r="106" spans="15:35" ht="16.5" thickTop="1" thickBot="1" x14ac:dyDescent="0.3">
      <c r="U106" s="277"/>
      <c r="V106" s="93">
        <v>0.11</v>
      </c>
      <c r="W106" s="163">
        <v>28899.412765626272</v>
      </c>
      <c r="X106" s="168">
        <v>29732.755339325944</v>
      </c>
      <c r="Y106" s="169">
        <v>30566.097913025609</v>
      </c>
      <c r="Z106" s="170">
        <v>31399.440486725282</v>
      </c>
      <c r="AA106" s="164">
        <v>32232.783060424954</v>
      </c>
      <c r="AC106" s="277"/>
      <c r="AD106" s="93">
        <v>0.11</v>
      </c>
      <c r="AE106" s="176">
        <v>1.2677665481263834E-2</v>
      </c>
      <c r="AF106" s="181">
        <v>1.8257575639066916E-2</v>
      </c>
      <c r="AG106" s="182">
        <v>2.3232340642514525E-2</v>
      </c>
      <c r="AH106" s="183">
        <v>2.7695339598950795E-2</v>
      </c>
      <c r="AI106" s="177">
        <v>3.1721679211844649E-2</v>
      </c>
    </row>
    <row r="107" spans="15:35" ht="16.5" thickTop="1" thickBot="1" x14ac:dyDescent="0.3">
      <c r="U107" s="277"/>
      <c r="V107" s="92">
        <v>0.115</v>
      </c>
      <c r="W107" s="163">
        <v>27987.289961763301</v>
      </c>
      <c r="X107" s="171">
        <v>28784.008061639783</v>
      </c>
      <c r="Y107" s="172">
        <v>29580.726161516261</v>
      </c>
      <c r="Z107" s="173">
        <v>30377.444261392742</v>
      </c>
      <c r="AA107" s="164">
        <v>31174.162361269227</v>
      </c>
      <c r="AC107" s="277"/>
      <c r="AD107" s="92">
        <v>0.115</v>
      </c>
      <c r="AE107" s="176">
        <v>1.7239276587035297E-2</v>
      </c>
      <c r="AF107" s="184">
        <v>2.2844321475278932E-2</v>
      </c>
      <c r="AG107" s="185">
        <v>2.7841495330093422E-2</v>
      </c>
      <c r="AH107" s="186">
        <v>3.2324597885432557E-2</v>
      </c>
      <c r="AI107" s="177">
        <v>3.6369074163249353E-2</v>
      </c>
    </row>
    <row r="108" spans="15:35" x14ac:dyDescent="0.25">
      <c r="U108" s="278"/>
      <c r="V108" s="94">
        <v>0.12</v>
      </c>
      <c r="W108" s="174">
        <v>27113.718277564425</v>
      </c>
      <c r="X108" s="174">
        <v>27875.574696043128</v>
      </c>
      <c r="Y108" s="174">
        <v>28637.431114521831</v>
      </c>
      <c r="Z108" s="174">
        <v>29399.287533000526</v>
      </c>
      <c r="AA108" s="175">
        <v>30161.143951479229</v>
      </c>
      <c r="AC108" s="278"/>
      <c r="AD108" s="94">
        <v>0.12</v>
      </c>
      <c r="AE108" s="187">
        <v>2.1800887692806751E-2</v>
      </c>
      <c r="AF108" s="187">
        <v>2.7431067311490927E-2</v>
      </c>
      <c r="AG108" s="187">
        <v>3.2450650017672299E-2</v>
      </c>
      <c r="AH108" s="187">
        <v>3.6953856171914323E-2</v>
      </c>
      <c r="AI108" s="188">
        <v>4.1016469114654064E-2</v>
      </c>
    </row>
    <row r="111" spans="15:35" x14ac:dyDescent="0.25">
      <c r="U111" s="270" t="s">
        <v>176</v>
      </c>
      <c r="V111" s="271"/>
      <c r="W111" s="271"/>
      <c r="X111" s="271"/>
      <c r="Y111" s="271"/>
      <c r="Z111" s="271"/>
      <c r="AA111" s="271"/>
    </row>
    <row r="112" spans="15:35" ht="3" customHeight="1" thickBot="1" x14ac:dyDescent="0.3">
      <c r="O112" s="158"/>
      <c r="U112" s="159"/>
      <c r="V112" s="159"/>
      <c r="W112" s="159"/>
      <c r="X112" s="159"/>
      <c r="Y112" s="159"/>
      <c r="Z112" s="159"/>
      <c r="AA112" s="159"/>
    </row>
    <row r="113" spans="14:27" ht="3" customHeight="1" thickTop="1" x14ac:dyDescent="0.25"/>
    <row r="114" spans="14:27" x14ac:dyDescent="0.25">
      <c r="W114" s="270" t="s">
        <v>163</v>
      </c>
      <c r="X114" s="271"/>
      <c r="Y114" s="271"/>
      <c r="Z114" s="271"/>
      <c r="AA114" s="272"/>
    </row>
    <row r="115" spans="14:27" x14ac:dyDescent="0.25">
      <c r="V115" s="76">
        <f>G75</f>
        <v>1.0860377908550909</v>
      </c>
      <c r="W115" s="160">
        <f>W103</f>
        <v>7.5</v>
      </c>
      <c r="X115" s="161">
        <f t="shared" ref="X115:AA115" si="34">X103</f>
        <v>8</v>
      </c>
      <c r="Y115" s="161">
        <f t="shared" si="34"/>
        <v>8.5</v>
      </c>
      <c r="Z115" s="161">
        <f t="shared" si="34"/>
        <v>9</v>
      </c>
      <c r="AA115" s="162">
        <f t="shared" si="34"/>
        <v>9.5</v>
      </c>
    </row>
    <row r="116" spans="14:27" ht="15.75" thickBot="1" x14ac:dyDescent="0.3">
      <c r="U116" s="276" t="s">
        <v>87</v>
      </c>
      <c r="V116" s="91">
        <v>0.1</v>
      </c>
      <c r="W116" s="189">
        <f t="dataTable" ref="W116:AA120" dt2D="1" dtr="1" r1="B69" r2="L66" ca="1"/>
        <v>1.0847385876189706</v>
      </c>
      <c r="X116" s="189">
        <v>1.1759662414337748</v>
      </c>
      <c r="Y116" s="189">
        <v>1.2671938952485784</v>
      </c>
      <c r="Z116" s="189">
        <v>1.3584215490633826</v>
      </c>
      <c r="AA116" s="190">
        <v>1.4496492028781867</v>
      </c>
    </row>
    <row r="117" spans="14:27" ht="15.75" thickBot="1" x14ac:dyDescent="0.3">
      <c r="U117" s="277"/>
      <c r="V117" s="92">
        <v>0.105</v>
      </c>
      <c r="W117" s="189">
        <v>0.98520764941790473</v>
      </c>
      <c r="X117" s="191">
        <v>1.0723904021094706</v>
      </c>
      <c r="Y117" s="192">
        <v>1.1595731548010368</v>
      </c>
      <c r="Z117" s="193">
        <v>1.2467559074926029</v>
      </c>
      <c r="AA117" s="190">
        <v>1.3339386601841687</v>
      </c>
    </row>
    <row r="118" spans="14:27" ht="16.5" thickTop="1" thickBot="1" x14ac:dyDescent="0.3">
      <c r="U118" s="277"/>
      <c r="V118" s="93">
        <v>0.11</v>
      </c>
      <c r="W118" s="189">
        <v>0.88994127656262723</v>
      </c>
      <c r="X118" s="194">
        <v>0.97327553393259436</v>
      </c>
      <c r="Y118" s="195">
        <v>1.0566097913025609</v>
      </c>
      <c r="Z118" s="196">
        <v>1.1399440486725281</v>
      </c>
      <c r="AA118" s="190">
        <v>1.2232783060424954</v>
      </c>
    </row>
    <row r="119" spans="14:27" ht="16.5" thickTop="1" thickBot="1" x14ac:dyDescent="0.3">
      <c r="U119" s="277"/>
      <c r="V119" s="92">
        <v>0.115</v>
      </c>
      <c r="W119" s="189">
        <v>0.79872899617633009</v>
      </c>
      <c r="X119" s="197">
        <v>0.87840080616397831</v>
      </c>
      <c r="Y119" s="198">
        <v>0.95807261615162609</v>
      </c>
      <c r="Z119" s="199">
        <v>1.0377444261392743</v>
      </c>
      <c r="AA119" s="190">
        <v>1.1174162361269226</v>
      </c>
    </row>
    <row r="120" spans="14:27" x14ac:dyDescent="0.25">
      <c r="U120" s="278"/>
      <c r="V120" s="94">
        <v>0.12</v>
      </c>
      <c r="W120" s="200">
        <v>0.71137182775644248</v>
      </c>
      <c r="X120" s="200">
        <v>0.78755746960431283</v>
      </c>
      <c r="Y120" s="200">
        <v>0.86374311145218308</v>
      </c>
      <c r="Z120" s="200">
        <v>0.93992875330005266</v>
      </c>
      <c r="AA120" s="201">
        <v>1.016114395147923</v>
      </c>
    </row>
    <row r="123" spans="14:27" x14ac:dyDescent="0.25">
      <c r="W123" s="127"/>
      <c r="X123" s="127"/>
      <c r="Y123" s="127"/>
    </row>
    <row r="125" spans="14:27" x14ac:dyDescent="0.25">
      <c r="N125" s="72"/>
      <c r="V125" s="72"/>
    </row>
  </sheetData>
  <mergeCells count="16">
    <mergeCell ref="AC99:AI99"/>
    <mergeCell ref="W102:AA102"/>
    <mergeCell ref="AE102:AI102"/>
    <mergeCell ref="U104:U108"/>
    <mergeCell ref="AC104:AC108"/>
    <mergeCell ref="U111:AA111"/>
    <mergeCell ref="W114:AA114"/>
    <mergeCell ref="U116:U120"/>
    <mergeCell ref="A32:L32"/>
    <mergeCell ref="A86:C86"/>
    <mergeCell ref="U99:AA99"/>
    <mergeCell ref="A63:B63"/>
    <mergeCell ref="D63:G63"/>
    <mergeCell ref="I63:L63"/>
    <mergeCell ref="I71:L71"/>
    <mergeCell ref="E78:F78"/>
  </mergeCells>
  <conditionalFormatting sqref="E33">
    <cfRule type="cellIs" dxfId="0" priority="7" stopIfTrue="1" operator="equal">
      <formula>#REF!</formula>
    </cfRule>
  </conditionalFormatting>
  <conditionalFormatting sqref="W104:AA108">
    <cfRule type="colorScale" priority="5">
      <colorScale>
        <cfvo type="min"/>
        <cfvo type="max"/>
        <color rgb="FFFFEF9C"/>
        <color rgb="FF63BE7B"/>
      </colorScale>
    </cfRule>
    <cfRule type="colorScale" priority="6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AE104:AI108">
    <cfRule type="colorScale" priority="3">
      <colorScale>
        <cfvo type="min"/>
        <cfvo type="max"/>
        <color rgb="FFFFEF9C"/>
        <color rgb="FF63BE7B"/>
      </colorScale>
    </cfRule>
    <cfRule type="colorScale" priority="4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W116:AA120">
    <cfRule type="colorScale" priority="1">
      <colorScale>
        <cfvo type="min"/>
        <cfvo type="max"/>
        <color rgb="FFFFEF9C"/>
        <color rgb="FF63BE7B"/>
      </colorScale>
    </cfRule>
    <cfRule type="colorScale" priority="2">
      <colorScale>
        <cfvo type="min"/>
        <cfvo type="percentile" val="50"/>
        <cfvo type="max"/>
        <color rgb="FF63BE7B"/>
        <color rgb="FFFFEB84"/>
        <color rgb="FFF8696B"/>
      </colorScale>
    </cfRule>
  </conditionalFormatting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501A055-C50C-4DD5-8221-E911CC55CAF6}">
  <sheetPr>
    <tabColor rgb="FFFFC000"/>
  </sheetPr>
  <dimension ref="A1:L23"/>
  <sheetViews>
    <sheetView workbookViewId="0">
      <selection activeCell="H28" sqref="H28"/>
    </sheetView>
  </sheetViews>
  <sheetFormatPr baseColWidth="10" defaultRowHeight="15" x14ac:dyDescent="0.25"/>
  <cols>
    <col min="1" max="1" width="13" bestFit="1" customWidth="1"/>
  </cols>
  <sheetData>
    <row r="1" spans="1:6" x14ac:dyDescent="0.25">
      <c r="A1" s="259" t="s">
        <v>204</v>
      </c>
      <c r="B1" s="259" t="s">
        <v>205</v>
      </c>
      <c r="C1" s="259" t="s">
        <v>206</v>
      </c>
      <c r="D1" s="259" t="s">
        <v>207</v>
      </c>
    </row>
    <row r="2" spans="1:6" x14ac:dyDescent="0.25">
      <c r="A2" s="261">
        <v>20000</v>
      </c>
      <c r="B2" s="261">
        <f>PMT(D2,C2,A2,0)</f>
        <v>-1419.0491459845925</v>
      </c>
      <c r="C2" s="261">
        <v>25</v>
      </c>
      <c r="D2" s="266">
        <v>0.05</v>
      </c>
    </row>
    <row r="3" spans="1:6" ht="15.75" thickBot="1" x14ac:dyDescent="0.3"/>
    <row r="4" spans="1:6" x14ac:dyDescent="0.25">
      <c r="B4" s="259" t="s">
        <v>208</v>
      </c>
      <c r="C4" s="216" t="s">
        <v>209</v>
      </c>
      <c r="D4" s="260" t="s">
        <v>18</v>
      </c>
      <c r="E4" s="218" t="s">
        <v>210</v>
      </c>
      <c r="F4" s="259" t="s">
        <v>211</v>
      </c>
    </row>
    <row r="5" spans="1:6" x14ac:dyDescent="0.25">
      <c r="A5" s="221">
        <f>'DCF model (Sans EF préc.)'!C51</f>
        <v>2019</v>
      </c>
      <c r="B5" s="261">
        <f>A2</f>
        <v>20000</v>
      </c>
      <c r="C5" s="262">
        <f>$B$2*-1</f>
        <v>1419.0491459845925</v>
      </c>
      <c r="D5" s="263">
        <f>B5*$D$2</f>
        <v>1000</v>
      </c>
      <c r="E5" s="264">
        <f>C5-D5</f>
        <v>419.04914598459254</v>
      </c>
      <c r="F5" s="261">
        <f>B5-E5</f>
        <v>19580.950854015406</v>
      </c>
    </row>
    <row r="6" spans="1:6" x14ac:dyDescent="0.25">
      <c r="A6" s="221">
        <f>A5+1</f>
        <v>2020</v>
      </c>
      <c r="B6" s="261">
        <f>F5</f>
        <v>19580.950854015406</v>
      </c>
      <c r="C6" s="262">
        <f t="shared" ref="C6:C14" si="0">$B$2*-1</f>
        <v>1419.0491459845925</v>
      </c>
      <c r="D6" s="263">
        <f t="shared" ref="D6:D13" si="1">B6*$D$2</f>
        <v>979.04754270077035</v>
      </c>
      <c r="E6" s="264">
        <f>C6-D6</f>
        <v>440.00160328382219</v>
      </c>
      <c r="F6" s="261">
        <f t="shared" ref="F6:F13" si="2">B6-E6</f>
        <v>19140.949250731584</v>
      </c>
    </row>
    <row r="7" spans="1:6" x14ac:dyDescent="0.25">
      <c r="A7" s="221">
        <f t="shared" ref="A7:A14" si="3">A6+1</f>
        <v>2021</v>
      </c>
      <c r="B7" s="261">
        <f t="shared" ref="B7:B14" si="4">F6</f>
        <v>19140.949250731584</v>
      </c>
      <c r="C7" s="262">
        <f t="shared" si="0"/>
        <v>1419.0491459845925</v>
      </c>
      <c r="D7" s="263">
        <f t="shared" si="1"/>
        <v>957.04746253657925</v>
      </c>
      <c r="E7" s="264">
        <f t="shared" ref="E7:E13" si="5">C7-D7</f>
        <v>462.0016834480133</v>
      </c>
      <c r="F7" s="261">
        <f t="shared" si="2"/>
        <v>18678.947567283572</v>
      </c>
    </row>
    <row r="8" spans="1:6" x14ac:dyDescent="0.25">
      <c r="A8" s="221">
        <f t="shared" si="3"/>
        <v>2022</v>
      </c>
      <c r="B8" s="261">
        <f t="shared" si="4"/>
        <v>18678.947567283572</v>
      </c>
      <c r="C8" s="262">
        <f t="shared" si="0"/>
        <v>1419.0491459845925</v>
      </c>
      <c r="D8" s="263">
        <f t="shared" si="1"/>
        <v>933.94737836417869</v>
      </c>
      <c r="E8" s="264">
        <f t="shared" si="5"/>
        <v>485.10176762041385</v>
      </c>
      <c r="F8" s="261">
        <f t="shared" si="2"/>
        <v>18193.845799663159</v>
      </c>
    </row>
    <row r="9" spans="1:6" x14ac:dyDescent="0.25">
      <c r="A9" s="221">
        <f t="shared" si="3"/>
        <v>2023</v>
      </c>
      <c r="B9" s="261">
        <f t="shared" si="4"/>
        <v>18193.845799663159</v>
      </c>
      <c r="C9" s="262">
        <f t="shared" si="0"/>
        <v>1419.0491459845925</v>
      </c>
      <c r="D9" s="263">
        <f t="shared" si="1"/>
        <v>909.69228998315793</v>
      </c>
      <c r="E9" s="264">
        <f t="shared" si="5"/>
        <v>509.35685600143461</v>
      </c>
      <c r="F9" s="261">
        <f t="shared" si="2"/>
        <v>17684.488943661723</v>
      </c>
    </row>
    <row r="10" spans="1:6" x14ac:dyDescent="0.25">
      <c r="A10" s="221">
        <f t="shared" si="3"/>
        <v>2024</v>
      </c>
      <c r="B10" s="261">
        <f t="shared" si="4"/>
        <v>17684.488943661723</v>
      </c>
      <c r="C10" s="262">
        <f t="shared" si="0"/>
        <v>1419.0491459845925</v>
      </c>
      <c r="D10" s="263">
        <f t="shared" si="1"/>
        <v>884.22444718308623</v>
      </c>
      <c r="E10" s="264">
        <f t="shared" si="5"/>
        <v>534.82469880150632</v>
      </c>
      <c r="F10" s="261">
        <f t="shared" si="2"/>
        <v>17149.664244860218</v>
      </c>
    </row>
    <row r="11" spans="1:6" x14ac:dyDescent="0.25">
      <c r="A11" s="221">
        <f t="shared" si="3"/>
        <v>2025</v>
      </c>
      <c r="B11" s="261">
        <f t="shared" si="4"/>
        <v>17149.664244860218</v>
      </c>
      <c r="C11" s="262">
        <f t="shared" si="0"/>
        <v>1419.0491459845925</v>
      </c>
      <c r="D11" s="263">
        <f t="shared" si="1"/>
        <v>857.48321224301094</v>
      </c>
      <c r="E11" s="264">
        <f t="shared" si="5"/>
        <v>561.5659337415816</v>
      </c>
      <c r="F11" s="261">
        <f t="shared" si="2"/>
        <v>16588.098311118636</v>
      </c>
    </row>
    <row r="12" spans="1:6" x14ac:dyDescent="0.25">
      <c r="A12" s="221">
        <f t="shared" si="3"/>
        <v>2026</v>
      </c>
      <c r="B12" s="261">
        <f t="shared" si="4"/>
        <v>16588.098311118636</v>
      </c>
      <c r="C12" s="262">
        <f t="shared" si="0"/>
        <v>1419.0491459845925</v>
      </c>
      <c r="D12" s="263">
        <f t="shared" si="1"/>
        <v>829.40491555593189</v>
      </c>
      <c r="E12" s="264">
        <f t="shared" si="5"/>
        <v>589.64423042866065</v>
      </c>
      <c r="F12" s="261">
        <f t="shared" si="2"/>
        <v>15998.454080689975</v>
      </c>
    </row>
    <row r="13" spans="1:6" x14ac:dyDescent="0.25">
      <c r="A13" s="221">
        <f t="shared" si="3"/>
        <v>2027</v>
      </c>
      <c r="B13" s="261">
        <f t="shared" si="4"/>
        <v>15998.454080689975</v>
      </c>
      <c r="C13" s="262">
        <f t="shared" si="0"/>
        <v>1419.0491459845925</v>
      </c>
      <c r="D13" s="263">
        <f t="shared" si="1"/>
        <v>799.92270403449879</v>
      </c>
      <c r="E13" s="264">
        <f t="shared" si="5"/>
        <v>619.12644195009375</v>
      </c>
      <c r="F13" s="261">
        <f t="shared" si="2"/>
        <v>15379.327638739882</v>
      </c>
    </row>
    <row r="14" spans="1:6" ht="15.75" thickBot="1" x14ac:dyDescent="0.3">
      <c r="A14" s="221">
        <f t="shared" si="3"/>
        <v>2028</v>
      </c>
      <c r="B14" s="261">
        <f t="shared" si="4"/>
        <v>15379.327638739882</v>
      </c>
      <c r="C14" s="262">
        <f t="shared" si="0"/>
        <v>1419.0491459845925</v>
      </c>
      <c r="D14" s="265">
        <f>B14*$D$2</f>
        <v>768.96638193699414</v>
      </c>
      <c r="E14" s="264">
        <f>C14-D14</f>
        <v>650.0827640475984</v>
      </c>
      <c r="F14" s="261">
        <f>B14-E14</f>
        <v>14729.244874692284</v>
      </c>
    </row>
    <row r="17" spans="1:12" x14ac:dyDescent="0.25">
      <c r="A17" s="61" t="s">
        <v>212</v>
      </c>
    </row>
    <row r="18" spans="1:12" x14ac:dyDescent="0.25">
      <c r="C18" s="220">
        <f>'DCF model (Sans EF préc.)'!C13</f>
        <v>2019</v>
      </c>
      <c r="D18" s="220">
        <f>'DCF model (Sans EF préc.)'!D13</f>
        <v>2020</v>
      </c>
      <c r="E18" s="220">
        <f>'DCF model (Sans EF préc.)'!E13</f>
        <v>2021</v>
      </c>
      <c r="F18" s="220">
        <f>'DCF model (Sans EF préc.)'!F13</f>
        <v>2022</v>
      </c>
      <c r="G18" s="220">
        <f>'DCF model (Sans EF préc.)'!G13</f>
        <v>2023</v>
      </c>
      <c r="H18" s="220">
        <f>'DCF model (Sans EF préc.)'!H13</f>
        <v>2024</v>
      </c>
      <c r="I18" s="220">
        <f>'DCF model (Sans EF préc.)'!I13</f>
        <v>2025</v>
      </c>
      <c r="J18" s="220">
        <f>'DCF model (Sans EF préc.)'!J13</f>
        <v>2026</v>
      </c>
      <c r="K18" s="220">
        <f>'DCF model (Sans EF préc.)'!K13</f>
        <v>2027</v>
      </c>
      <c r="L18" s="220">
        <f>'DCF model (Sans EF préc.)'!L13</f>
        <v>2028</v>
      </c>
    </row>
    <row r="19" spans="1:12" x14ac:dyDescent="0.25">
      <c r="A19" t="s">
        <v>213</v>
      </c>
      <c r="C19" s="3"/>
      <c r="D19" s="3"/>
      <c r="E19" s="3"/>
      <c r="F19" s="3"/>
      <c r="G19" s="3"/>
      <c r="H19" s="3"/>
      <c r="I19" s="3"/>
      <c r="J19" s="3"/>
      <c r="K19" s="3"/>
      <c r="L19" s="3"/>
    </row>
    <row r="20" spans="1:12" x14ac:dyDescent="0.25">
      <c r="A20" t="s">
        <v>214</v>
      </c>
      <c r="C20" s="4">
        <f t="array" ref="C20:L20">TRANSPOSE(F5:F14)</f>
        <v>19580.950854015406</v>
      </c>
      <c r="D20" s="4">
        <v>19140.949250731584</v>
      </c>
      <c r="E20" s="4">
        <v>18678.947567283572</v>
      </c>
      <c r="F20" s="4">
        <v>18193.845799663159</v>
      </c>
      <c r="G20" s="4">
        <v>17684.488943661723</v>
      </c>
      <c r="H20" s="4">
        <v>17149.664244860218</v>
      </c>
      <c r="I20" s="4">
        <v>16588.098311118636</v>
      </c>
      <c r="J20" s="4">
        <v>15998.454080689975</v>
      </c>
      <c r="K20" s="4">
        <v>15379.327638739882</v>
      </c>
      <c r="L20" s="4">
        <v>14729.244874692284</v>
      </c>
    </row>
    <row r="21" spans="1:12" ht="15.75" thickBot="1" x14ac:dyDescent="0.3">
      <c r="A21" s="61" t="s">
        <v>212</v>
      </c>
      <c r="B21" s="61"/>
      <c r="C21" s="8">
        <f>C19+C20</f>
        <v>19580.950854015406</v>
      </c>
      <c r="D21" s="8">
        <f t="shared" ref="D21:L21" si="6">D19+D20</f>
        <v>19140.949250731584</v>
      </c>
      <c r="E21" s="8">
        <f t="shared" si="6"/>
        <v>18678.947567283572</v>
      </c>
      <c r="F21" s="8">
        <f t="shared" si="6"/>
        <v>18193.845799663159</v>
      </c>
      <c r="G21" s="8">
        <f t="shared" si="6"/>
        <v>17684.488943661723</v>
      </c>
      <c r="H21" s="8">
        <f t="shared" si="6"/>
        <v>17149.664244860218</v>
      </c>
      <c r="I21" s="8">
        <f t="shared" si="6"/>
        <v>16588.098311118636</v>
      </c>
      <c r="J21" s="8">
        <f t="shared" si="6"/>
        <v>15998.454080689975</v>
      </c>
      <c r="K21" s="8">
        <f t="shared" si="6"/>
        <v>15379.327638739882</v>
      </c>
      <c r="L21" s="8">
        <f t="shared" si="6"/>
        <v>14729.244874692284</v>
      </c>
    </row>
    <row r="22" spans="1:12" ht="15.75" thickTop="1" x14ac:dyDescent="0.25"/>
    <row r="23" spans="1:12" x14ac:dyDescent="0.25">
      <c r="A23" t="s">
        <v>18</v>
      </c>
      <c r="C23" s="4">
        <f t="array" ref="C23:L23">TRANSPOSE(D5:D14)</f>
        <v>1000</v>
      </c>
      <c r="D23" s="4">
        <v>979.04754270077035</v>
      </c>
      <c r="E23" s="4">
        <v>957.04746253657925</v>
      </c>
      <c r="F23" s="4">
        <v>933.94737836417869</v>
      </c>
      <c r="G23" s="4">
        <v>909.69228998315793</v>
      </c>
      <c r="H23" s="4">
        <v>884.22444718308623</v>
      </c>
      <c r="I23" s="4">
        <v>857.48321224301094</v>
      </c>
      <c r="J23" s="4">
        <v>829.40491555593189</v>
      </c>
      <c r="K23" s="4">
        <v>799.92270403449879</v>
      </c>
      <c r="L23" s="4">
        <v>768.96638193699414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A6CDDA3-74AF-46C9-A765-B57757531A4F}">
  <dimension ref="A1:AF46"/>
  <sheetViews>
    <sheetView workbookViewId="0">
      <selection activeCell="U21" sqref="U21"/>
    </sheetView>
  </sheetViews>
  <sheetFormatPr baseColWidth="10" defaultColWidth="10.85546875" defaultRowHeight="15" x14ac:dyDescent="0.25"/>
  <cols>
    <col min="1" max="10" width="11.42578125" customWidth="1"/>
    <col min="11" max="11" width="0.7109375" customWidth="1"/>
    <col min="12" max="19" width="11.42578125"/>
    <col min="20" max="20" width="20.42578125" bestFit="1" customWidth="1"/>
    <col min="21" max="30" width="10.85546875" style="2"/>
    <col min="31" max="31" width="0.7109375" style="2" customWidth="1"/>
    <col min="32" max="16384" width="10.85546875" style="2"/>
  </cols>
  <sheetData>
    <row r="1" spans="1:32" customFormat="1" ht="18.75" x14ac:dyDescent="0.3">
      <c r="A1" s="289" t="s">
        <v>115</v>
      </c>
      <c r="B1" s="289"/>
      <c r="C1" s="289"/>
      <c r="D1" s="289"/>
      <c r="E1" s="289"/>
      <c r="F1" s="289"/>
      <c r="G1" s="289"/>
      <c r="H1" s="289"/>
      <c r="I1" s="289"/>
      <c r="J1" s="289"/>
      <c r="K1" s="289"/>
      <c r="L1" s="289"/>
      <c r="U1" s="289" t="s">
        <v>115</v>
      </c>
      <c r="V1" s="289"/>
      <c r="W1" s="289"/>
      <c r="X1" s="289"/>
      <c r="Y1" s="289"/>
      <c r="Z1" s="289"/>
      <c r="AA1" s="289"/>
      <c r="AB1" s="289"/>
      <c r="AC1" s="289"/>
      <c r="AD1" s="289"/>
      <c r="AE1" s="289"/>
      <c r="AF1" s="289"/>
    </row>
    <row r="2" spans="1:32" customFormat="1" ht="3.95" customHeight="1" x14ac:dyDescent="0.3">
      <c r="A2" s="112"/>
      <c r="B2" s="112"/>
      <c r="C2" s="112"/>
      <c r="D2" s="112"/>
      <c r="E2" s="112"/>
      <c r="F2" s="112"/>
      <c r="G2" s="112"/>
      <c r="H2" s="112"/>
      <c r="I2" s="112"/>
      <c r="J2" s="112"/>
      <c r="K2" s="112"/>
      <c r="L2" s="112"/>
      <c r="U2" s="112"/>
      <c r="V2" s="112"/>
      <c r="W2" s="112"/>
      <c r="X2" s="112"/>
      <c r="Y2" s="112"/>
      <c r="Z2" s="112"/>
      <c r="AA2" s="112"/>
      <c r="AB2" s="112"/>
      <c r="AC2" s="112"/>
      <c r="AD2" s="112"/>
      <c r="AE2" s="112"/>
      <c r="AF2" s="112"/>
    </row>
    <row r="3" spans="1:32" customFormat="1" x14ac:dyDescent="0.25">
      <c r="A3" s="110"/>
      <c r="B3" s="110"/>
      <c r="C3" s="110"/>
      <c r="D3" s="110"/>
      <c r="E3" s="290" t="s">
        <v>120</v>
      </c>
      <c r="F3" s="290"/>
      <c r="G3" s="290"/>
      <c r="H3" s="110"/>
      <c r="I3" s="290" t="s">
        <v>125</v>
      </c>
      <c r="J3" s="290"/>
      <c r="K3" s="110"/>
      <c r="L3" s="291" t="s">
        <v>127</v>
      </c>
      <c r="U3" s="110"/>
      <c r="V3" s="110"/>
      <c r="W3" s="110"/>
      <c r="X3" s="110"/>
      <c r="Y3" s="290" t="s">
        <v>120</v>
      </c>
      <c r="Z3" s="290"/>
      <c r="AA3" s="290"/>
      <c r="AB3" s="110"/>
      <c r="AC3" s="290" t="s">
        <v>125</v>
      </c>
      <c r="AD3" s="290"/>
      <c r="AE3" s="110"/>
      <c r="AF3" s="291" t="s">
        <v>127</v>
      </c>
    </row>
    <row r="4" spans="1:32" customFormat="1" ht="27.95" customHeight="1" x14ac:dyDescent="0.25">
      <c r="A4" s="111" t="s">
        <v>116</v>
      </c>
      <c r="B4" s="111" t="s">
        <v>117</v>
      </c>
      <c r="C4" s="111" t="s">
        <v>118</v>
      </c>
      <c r="D4" s="111" t="s">
        <v>119</v>
      </c>
      <c r="E4" s="113" t="s">
        <v>121</v>
      </c>
      <c r="F4" s="113" t="s">
        <v>122</v>
      </c>
      <c r="G4" s="111" t="s">
        <v>123</v>
      </c>
      <c r="H4" s="111" t="s">
        <v>124</v>
      </c>
      <c r="I4" s="111" t="s">
        <v>84</v>
      </c>
      <c r="J4" s="111" t="s">
        <v>126</v>
      </c>
      <c r="K4" s="109"/>
      <c r="L4" s="292"/>
      <c r="U4" s="111" t="s">
        <v>116</v>
      </c>
      <c r="V4" s="111" t="s">
        <v>117</v>
      </c>
      <c r="W4" s="111" t="s">
        <v>118</v>
      </c>
      <c r="X4" s="111" t="s">
        <v>119</v>
      </c>
      <c r="Y4" s="113" t="s">
        <v>121</v>
      </c>
      <c r="Z4" s="113" t="s">
        <v>122</v>
      </c>
      <c r="AA4" s="111" t="s">
        <v>123</v>
      </c>
      <c r="AB4" s="111" t="s">
        <v>124</v>
      </c>
      <c r="AC4" s="111" t="s">
        <v>84</v>
      </c>
      <c r="AD4" s="111" t="s">
        <v>126</v>
      </c>
      <c r="AE4" s="109"/>
      <c r="AF4" s="292"/>
    </row>
    <row r="5" spans="1:32" customFormat="1" x14ac:dyDescent="0.25">
      <c r="A5" s="3">
        <v>1</v>
      </c>
      <c r="B5" s="3">
        <v>9</v>
      </c>
      <c r="C5" s="3"/>
      <c r="D5" s="3">
        <v>150</v>
      </c>
      <c r="E5" s="3">
        <v>5.8</v>
      </c>
      <c r="F5" s="3">
        <v>15</v>
      </c>
      <c r="G5" s="3">
        <v>0.22</v>
      </c>
      <c r="H5" s="3" t="s">
        <v>132</v>
      </c>
      <c r="I5" s="77">
        <v>3.6999999999999998E-2</v>
      </c>
      <c r="J5" s="77">
        <v>1.4E-2</v>
      </c>
      <c r="K5" s="3"/>
      <c r="L5" s="77">
        <v>1E-3</v>
      </c>
      <c r="N5" s="270" t="s">
        <v>128</v>
      </c>
      <c r="O5" s="271"/>
      <c r="P5" s="272"/>
      <c r="R5" s="270" t="s">
        <v>138</v>
      </c>
      <c r="S5" s="271"/>
      <c r="U5" s="116">
        <v>2</v>
      </c>
      <c r="V5" s="116">
        <v>8</v>
      </c>
      <c r="W5" s="116"/>
      <c r="X5" s="116">
        <v>2475</v>
      </c>
      <c r="Y5" s="116">
        <v>6.9</v>
      </c>
      <c r="Z5" s="116">
        <v>11.2</v>
      </c>
      <c r="AA5" s="116">
        <v>0.54</v>
      </c>
      <c r="AB5" s="116" t="s">
        <v>132</v>
      </c>
      <c r="AC5" s="117">
        <v>7.8E-2</v>
      </c>
      <c r="AD5" s="117">
        <v>4.8000000000000001E-2</v>
      </c>
      <c r="AE5" s="116"/>
      <c r="AF5" s="117">
        <v>4.2999999999999997E-2</v>
      </c>
    </row>
    <row r="6" spans="1:32" customFormat="1" x14ac:dyDescent="0.25">
      <c r="A6" s="59">
        <v>2</v>
      </c>
      <c r="B6" s="59">
        <v>8</v>
      </c>
      <c r="C6" s="59"/>
      <c r="D6" s="59">
        <v>2475</v>
      </c>
      <c r="E6" s="59">
        <v>6.9</v>
      </c>
      <c r="F6" s="59">
        <v>11.2</v>
      </c>
      <c r="G6" s="59">
        <v>0.54</v>
      </c>
      <c r="H6" s="59" t="s">
        <v>132</v>
      </c>
      <c r="I6" s="115">
        <v>7.8E-2</v>
      </c>
      <c r="J6" s="115">
        <v>4.8000000000000001E-2</v>
      </c>
      <c r="K6" s="59"/>
      <c r="L6" s="115">
        <v>4.2999999999999997E-2</v>
      </c>
      <c r="N6" s="286" t="s">
        <v>129</v>
      </c>
      <c r="O6" s="287"/>
      <c r="P6" s="288"/>
      <c r="R6" s="125" t="s">
        <v>80</v>
      </c>
      <c r="S6" s="126">
        <f>'DCF model'!L6</f>
        <v>103209.11285206623</v>
      </c>
      <c r="U6" s="116">
        <v>3</v>
      </c>
      <c r="V6" s="116">
        <v>7</v>
      </c>
      <c r="W6" s="116"/>
      <c r="X6" s="116">
        <v>6714</v>
      </c>
      <c r="Y6" s="116">
        <v>6.7</v>
      </c>
      <c r="Z6" s="116">
        <v>9.9</v>
      </c>
      <c r="AA6" s="116">
        <v>0.48</v>
      </c>
      <c r="AB6" s="116">
        <v>1.4</v>
      </c>
      <c r="AC6" s="117">
        <v>7.1999999999999995E-2</v>
      </c>
      <c r="AD6" s="117">
        <v>4.8000000000000001E-2</v>
      </c>
      <c r="AE6" s="116"/>
      <c r="AF6" s="117">
        <v>5.0999999999999997E-2</v>
      </c>
    </row>
    <row r="7" spans="1:32" customFormat="1" x14ac:dyDescent="0.25">
      <c r="A7" s="59">
        <v>3</v>
      </c>
      <c r="B7" s="59">
        <v>7</v>
      </c>
      <c r="C7" s="59"/>
      <c r="D7" s="59">
        <v>6714</v>
      </c>
      <c r="E7" s="59">
        <v>6.7</v>
      </c>
      <c r="F7" s="59">
        <v>9.9</v>
      </c>
      <c r="G7" s="59">
        <v>0.48</v>
      </c>
      <c r="H7" s="59">
        <v>1.4</v>
      </c>
      <c r="I7" s="115">
        <v>7.1999999999999995E-2</v>
      </c>
      <c r="J7" s="115">
        <v>4.8000000000000001E-2</v>
      </c>
      <c r="K7" s="59"/>
      <c r="L7" s="115">
        <v>5.0999999999999997E-2</v>
      </c>
      <c r="N7" s="283" t="s">
        <v>130</v>
      </c>
      <c r="O7" s="284"/>
      <c r="P7" s="285"/>
      <c r="R7" s="125" t="s">
        <v>139</v>
      </c>
      <c r="S7" s="126">
        <f>'3 Financial statements'!S32</f>
        <v>102476.27852119393</v>
      </c>
      <c r="Y7" s="3">
        <v>10.1</v>
      </c>
      <c r="Z7" s="3">
        <v>15.8</v>
      </c>
      <c r="AA7" s="3">
        <v>0.85</v>
      </c>
      <c r="AB7" s="3">
        <v>0.3</v>
      </c>
      <c r="AC7" s="75">
        <v>7.4999999999999997E-2</v>
      </c>
      <c r="AD7" s="75">
        <v>4.2999999999999997E-2</v>
      </c>
      <c r="AE7" s="3"/>
      <c r="AF7" s="3"/>
    </row>
    <row r="8" spans="1:32" customFormat="1" x14ac:dyDescent="0.25">
      <c r="A8" s="3">
        <v>4</v>
      </c>
      <c r="B8" s="3">
        <v>23</v>
      </c>
      <c r="C8" s="3"/>
      <c r="D8" s="3">
        <v>750</v>
      </c>
      <c r="E8" s="3">
        <v>6.3</v>
      </c>
      <c r="F8" s="3">
        <v>12.3</v>
      </c>
      <c r="G8" s="3">
        <v>0.21</v>
      </c>
      <c r="H8" s="3">
        <v>3.2</v>
      </c>
      <c r="I8" s="77">
        <v>3.3000000000000002E-2</v>
      </c>
      <c r="J8" s="77">
        <v>1.7000000000000001E-2</v>
      </c>
      <c r="K8" s="3"/>
      <c r="L8" s="77">
        <v>7.4999999999999997E-2</v>
      </c>
      <c r="N8" s="286" t="s">
        <v>131</v>
      </c>
      <c r="O8" s="287"/>
      <c r="P8" s="288"/>
      <c r="R8" s="125" t="s">
        <v>140</v>
      </c>
      <c r="S8" s="126">
        <f>'DCF model'!L4</f>
        <v>212629.4043877942</v>
      </c>
      <c r="Y8" s="3">
        <v>9.4</v>
      </c>
      <c r="Z8" s="3">
        <v>15.5</v>
      </c>
      <c r="AA8" s="3">
        <v>0.61</v>
      </c>
      <c r="AB8" s="3">
        <v>3.8</v>
      </c>
      <c r="AC8" s="75">
        <v>6.5000000000000002E-2</v>
      </c>
      <c r="AD8" s="73">
        <v>0.04</v>
      </c>
      <c r="AE8" s="3"/>
      <c r="AF8" s="75">
        <v>1.4E-2</v>
      </c>
    </row>
    <row r="9" spans="1:32" customFormat="1" x14ac:dyDescent="0.25">
      <c r="A9" s="3">
        <v>5</v>
      </c>
      <c r="B9" s="3">
        <v>54</v>
      </c>
      <c r="C9" s="3"/>
      <c r="D9" s="3">
        <v>500</v>
      </c>
      <c r="E9" s="3">
        <v>8.3000000000000007</v>
      </c>
      <c r="F9" s="3">
        <v>15.2</v>
      </c>
      <c r="G9" s="3">
        <v>0.3</v>
      </c>
      <c r="H9" s="3" t="s">
        <v>132</v>
      </c>
      <c r="I9" s="77">
        <v>3.5999999999999997E-2</v>
      </c>
      <c r="J9" s="77">
        <v>0.02</v>
      </c>
      <c r="K9" s="3"/>
      <c r="L9" s="77">
        <v>8.4000000000000005E-2</v>
      </c>
      <c r="N9" s="283" t="s">
        <v>133</v>
      </c>
      <c r="O9" s="284"/>
      <c r="P9" s="285"/>
      <c r="Y9" s="3"/>
      <c r="Z9" s="3"/>
      <c r="AA9" s="3"/>
      <c r="AB9" s="3"/>
      <c r="AC9" s="3"/>
      <c r="AD9" s="3"/>
      <c r="AE9" s="3"/>
      <c r="AF9" s="3"/>
    </row>
    <row r="10" spans="1:32" customFormat="1" x14ac:dyDescent="0.25">
      <c r="A10" s="3">
        <v>6</v>
      </c>
      <c r="B10" s="3">
        <v>43</v>
      </c>
      <c r="C10" s="3"/>
      <c r="D10" s="3">
        <v>3560</v>
      </c>
      <c r="E10" s="3">
        <v>12.4</v>
      </c>
      <c r="F10" s="3">
        <v>19</v>
      </c>
      <c r="G10" s="3">
        <v>1.05</v>
      </c>
      <c r="H10" s="3">
        <v>4.9000000000000004</v>
      </c>
      <c r="I10" s="77">
        <v>8.5000000000000006E-2</v>
      </c>
      <c r="J10" s="77">
        <v>5.5E-2</v>
      </c>
      <c r="K10" s="3"/>
      <c r="L10" s="77">
        <v>0.09</v>
      </c>
      <c r="Y10" s="3"/>
      <c r="Z10" s="3"/>
      <c r="AA10" s="3"/>
      <c r="AB10" s="3"/>
      <c r="AC10" s="3"/>
      <c r="AD10" s="3"/>
      <c r="AE10" s="3"/>
      <c r="AF10" s="3"/>
    </row>
    <row r="11" spans="1:32" customFormat="1" x14ac:dyDescent="0.25">
      <c r="A11" s="3"/>
      <c r="B11" s="3"/>
      <c r="C11" s="3"/>
      <c r="D11" s="3"/>
      <c r="E11" s="3"/>
      <c r="F11" s="3"/>
      <c r="G11" s="3"/>
      <c r="H11" s="3"/>
      <c r="I11" s="3"/>
      <c r="J11" s="3"/>
      <c r="K11" s="3"/>
      <c r="L11" s="3"/>
      <c r="Y11" s="3"/>
      <c r="Z11" s="3"/>
      <c r="AA11" s="3"/>
      <c r="AB11" s="3"/>
      <c r="AC11" s="3"/>
      <c r="AD11" s="3"/>
      <c r="AE11" s="3"/>
      <c r="AF11" s="3"/>
    </row>
    <row r="12" spans="1:32" customFormat="1" x14ac:dyDescent="0.25">
      <c r="A12" s="3"/>
      <c r="B12" s="3"/>
      <c r="C12" s="3"/>
      <c r="D12" s="3"/>
      <c r="E12" s="3"/>
      <c r="F12" s="3"/>
      <c r="G12" s="3"/>
      <c r="H12" s="3"/>
      <c r="I12" s="3"/>
      <c r="J12" s="3"/>
      <c r="K12" s="3"/>
      <c r="L12" s="3"/>
      <c r="U12" s="118"/>
      <c r="V12" s="118"/>
      <c r="W12" s="118"/>
      <c r="X12" s="1" t="s">
        <v>137</v>
      </c>
      <c r="Y12" s="114">
        <f>MIN(Y5:Y11)</f>
        <v>6.7</v>
      </c>
      <c r="Z12" s="114">
        <f t="shared" ref="Z12:AB12" si="0">MIN(Z5:Z11)</f>
        <v>9.9</v>
      </c>
      <c r="AA12" s="114">
        <f t="shared" si="0"/>
        <v>0.48</v>
      </c>
      <c r="AB12" s="114">
        <f t="shared" si="0"/>
        <v>0.3</v>
      </c>
      <c r="AC12" s="119">
        <f t="shared" ref="AC12" si="1">MIN(AC5:AC11)</f>
        <v>6.5000000000000002E-2</v>
      </c>
      <c r="AD12" s="119">
        <f t="shared" ref="AD12" si="2">MIN(AD5:AD11)</f>
        <v>0.04</v>
      </c>
      <c r="AE12" s="114"/>
      <c r="AF12" s="119">
        <f t="shared" ref="AF12" si="3">MIN(AF5:AF11)</f>
        <v>1.4E-2</v>
      </c>
    </row>
    <row r="13" spans="1:32" customFormat="1" x14ac:dyDescent="0.25">
      <c r="A13" s="3"/>
      <c r="B13" s="3"/>
      <c r="C13" s="3"/>
      <c r="D13" s="3"/>
      <c r="E13" s="3"/>
      <c r="F13" s="3"/>
      <c r="G13" s="3"/>
      <c r="H13" s="3"/>
      <c r="I13" s="3"/>
      <c r="J13" s="3"/>
      <c r="K13" s="3"/>
      <c r="L13" s="3"/>
      <c r="X13" s="61" t="s">
        <v>136</v>
      </c>
      <c r="Y13" s="3">
        <f>MEDIAN(Y5:Y11)</f>
        <v>8.15</v>
      </c>
      <c r="Z13" s="3">
        <f t="shared" ref="Z13:AB13" si="4">MEDIAN(Z5:Z11)</f>
        <v>13.35</v>
      </c>
      <c r="AA13" s="3">
        <f t="shared" si="4"/>
        <v>0.57499999999999996</v>
      </c>
      <c r="AB13" s="3">
        <f t="shared" si="4"/>
        <v>1.4</v>
      </c>
      <c r="AC13" s="23">
        <f t="shared" ref="AC13:AF13" si="5">MEDIAN(AC5:AC11)</f>
        <v>7.3499999999999996E-2</v>
      </c>
      <c r="AD13" s="23">
        <f t="shared" si="5"/>
        <v>4.5499999999999999E-2</v>
      </c>
      <c r="AE13" s="3"/>
      <c r="AF13" s="23">
        <f t="shared" si="5"/>
        <v>4.2999999999999997E-2</v>
      </c>
    </row>
    <row r="14" spans="1:32" customFormat="1" x14ac:dyDescent="0.25">
      <c r="A14" s="3"/>
      <c r="B14" s="3"/>
      <c r="C14" s="3"/>
      <c r="D14" s="3"/>
      <c r="E14" s="3"/>
      <c r="F14" s="3"/>
      <c r="G14" s="3"/>
      <c r="H14" s="3"/>
      <c r="I14" s="3"/>
      <c r="J14" s="3"/>
      <c r="K14" s="3"/>
      <c r="L14" s="3"/>
      <c r="X14" s="61" t="s">
        <v>134</v>
      </c>
      <c r="Y14" s="3">
        <f>MAX(Y5:Y11)</f>
        <v>10.1</v>
      </c>
      <c r="Z14" s="3">
        <f t="shared" ref="Z14:AB14" si="6">MAX(Z5:Z11)</f>
        <v>15.8</v>
      </c>
      <c r="AA14" s="3">
        <f t="shared" si="6"/>
        <v>0.85</v>
      </c>
      <c r="AB14" s="3">
        <f t="shared" si="6"/>
        <v>3.8</v>
      </c>
      <c r="AC14" s="23">
        <f t="shared" ref="AC14:AF14" si="7">MAX(AC5:AC11)</f>
        <v>7.8E-2</v>
      </c>
      <c r="AD14" s="23">
        <f t="shared" si="7"/>
        <v>4.8000000000000001E-2</v>
      </c>
      <c r="AE14" s="3"/>
      <c r="AF14" s="23">
        <f t="shared" si="7"/>
        <v>5.0999999999999997E-2</v>
      </c>
    </row>
    <row r="15" spans="1:32" customFormat="1" x14ac:dyDescent="0.25">
      <c r="A15" s="3"/>
      <c r="B15" s="3"/>
      <c r="C15" s="3"/>
      <c r="D15" s="3"/>
      <c r="E15" s="3"/>
      <c r="F15" s="3"/>
      <c r="G15" s="3"/>
      <c r="H15" s="3"/>
      <c r="I15" s="3"/>
      <c r="J15" s="3"/>
      <c r="K15" s="3"/>
      <c r="L15" s="3"/>
      <c r="U15" s="107"/>
      <c r="V15" s="107"/>
      <c r="W15" s="107"/>
      <c r="X15" s="120" t="s">
        <v>135</v>
      </c>
      <c r="Y15" s="108">
        <f>AVERAGE(Y5:Y11)</f>
        <v>8.2750000000000004</v>
      </c>
      <c r="Z15" s="108">
        <f t="shared" ref="Z15:AB15" si="8">AVERAGE(Z5:Z11)</f>
        <v>13.100000000000001</v>
      </c>
      <c r="AA15" s="122">
        <f t="shared" si="8"/>
        <v>0.62</v>
      </c>
      <c r="AB15" s="122">
        <f t="shared" si="8"/>
        <v>1.8333333333333333</v>
      </c>
      <c r="AC15" s="121">
        <f t="shared" ref="AC15:AF15" si="9">AVERAGE(AC5:AC11)</f>
        <v>7.2499999999999995E-2</v>
      </c>
      <c r="AD15" s="121">
        <f t="shared" si="9"/>
        <v>4.4750000000000005E-2</v>
      </c>
      <c r="AE15" s="108"/>
      <c r="AF15" s="121">
        <f t="shared" si="9"/>
        <v>3.5999999999999997E-2</v>
      </c>
    </row>
    <row r="16" spans="1:32" customFormat="1" x14ac:dyDescent="0.25">
      <c r="A16" s="3"/>
      <c r="B16" s="3"/>
      <c r="C16" s="3"/>
      <c r="D16" s="3"/>
      <c r="E16" s="3"/>
      <c r="F16" s="3"/>
      <c r="G16" s="3"/>
      <c r="H16" s="3"/>
      <c r="I16" s="3"/>
      <c r="J16" s="3"/>
      <c r="K16" s="3"/>
      <c r="L16" s="3"/>
    </row>
    <row r="17" spans="1:29" customFormat="1" x14ac:dyDescent="0.25">
      <c r="A17" s="3"/>
      <c r="B17" s="3"/>
      <c r="C17" s="3"/>
      <c r="D17" s="3"/>
      <c r="E17" s="3"/>
      <c r="F17" s="3"/>
      <c r="G17" s="3"/>
      <c r="H17" s="3"/>
      <c r="I17" s="3"/>
      <c r="J17" s="3"/>
      <c r="K17" s="3"/>
      <c r="L17" s="3"/>
      <c r="R17" s="123"/>
      <c r="S17" s="123"/>
      <c r="U17" s="270" t="str">
        <f>CONCATENATE("Évaluation selon"," ",Y4)</f>
        <v>Évaluation selon LTM EBITDA</v>
      </c>
      <c r="V17" s="271"/>
      <c r="W17" s="271"/>
      <c r="X17" s="2"/>
      <c r="Y17" s="2"/>
      <c r="Z17" s="2"/>
      <c r="AA17" s="2"/>
    </row>
    <row r="18" spans="1:29" customFormat="1" x14ac:dyDescent="0.25">
      <c r="A18" s="3"/>
      <c r="B18" s="3"/>
      <c r="C18" s="3"/>
      <c r="D18" s="3"/>
      <c r="E18" s="3"/>
      <c r="F18" s="3"/>
      <c r="G18" s="3"/>
      <c r="H18" s="3"/>
      <c r="I18" s="3"/>
      <c r="J18" s="3"/>
      <c r="K18" s="3"/>
      <c r="L18" s="3"/>
      <c r="U18" s="105" t="s">
        <v>137</v>
      </c>
      <c r="V18" s="105" t="s">
        <v>135</v>
      </c>
      <c r="W18" s="105" t="s">
        <v>134</v>
      </c>
      <c r="X18" s="2"/>
      <c r="Y18" s="2"/>
      <c r="Z18" s="2"/>
      <c r="AA18" s="2"/>
    </row>
    <row r="19" spans="1:29" x14ac:dyDescent="0.25">
      <c r="A19" s="3"/>
      <c r="B19" s="3"/>
      <c r="C19" s="3"/>
      <c r="D19" s="3"/>
      <c r="E19" s="3"/>
      <c r="F19" s="3"/>
      <c r="G19" s="3"/>
      <c r="H19" s="3"/>
      <c r="I19" s="3"/>
      <c r="J19" s="3"/>
      <c r="K19" s="3"/>
      <c r="L19" s="3"/>
      <c r="T19" s="2" t="s">
        <v>107</v>
      </c>
      <c r="U19" s="4">
        <f>Y12*S6</f>
        <v>691501.05610884377</v>
      </c>
      <c r="V19" s="4">
        <f>Y15*S6</f>
        <v>854055.40885084809</v>
      </c>
      <c r="W19" s="4">
        <f>Y14*S6</f>
        <v>1042412.0398058689</v>
      </c>
      <c r="Z19" s="4"/>
      <c r="AA19" s="4" t="s">
        <v>145</v>
      </c>
      <c r="AB19" s="4" t="s">
        <v>147</v>
      </c>
      <c r="AC19" s="4" t="s">
        <v>146</v>
      </c>
    </row>
    <row r="20" spans="1:29" x14ac:dyDescent="0.25">
      <c r="A20" s="3"/>
      <c r="B20" s="3"/>
      <c r="C20" s="3"/>
      <c r="D20" s="3"/>
      <c r="E20" s="3"/>
      <c r="F20" s="3"/>
      <c r="G20" s="3"/>
      <c r="H20" s="3"/>
      <c r="I20" s="3"/>
      <c r="J20" s="3"/>
      <c r="K20" s="3"/>
      <c r="L20" s="3"/>
      <c r="T20" s="2" t="s">
        <v>98</v>
      </c>
      <c r="U20" s="140">
        <f>'DCF model'!$B$9</f>
        <v>35671</v>
      </c>
      <c r="V20" s="140">
        <f>'DCF model'!$B$9</f>
        <v>35671</v>
      </c>
      <c r="W20" s="140">
        <f>'DCF model'!$B$9</f>
        <v>35671</v>
      </c>
      <c r="Z20" s="4" t="str">
        <f>Y4</f>
        <v>LTM EBITDA</v>
      </c>
      <c r="AA20" s="20">
        <f>U25</f>
        <v>8.9538005610884372</v>
      </c>
      <c r="AB20" s="20">
        <f>AC20-AA20</f>
        <v>3.5091098369702518</v>
      </c>
      <c r="AC20" s="20">
        <f>W25</f>
        <v>12.462910398058689</v>
      </c>
    </row>
    <row r="21" spans="1:29" x14ac:dyDescent="0.25">
      <c r="A21" s="3"/>
      <c r="B21" s="3"/>
      <c r="C21" s="3"/>
      <c r="D21" s="3"/>
      <c r="E21" s="3"/>
      <c r="F21" s="3"/>
      <c r="G21" s="3"/>
      <c r="H21" s="3"/>
      <c r="I21" s="3"/>
      <c r="J21" s="3"/>
      <c r="K21" s="3"/>
      <c r="L21" s="3"/>
      <c r="T21" t="s">
        <v>141</v>
      </c>
      <c r="U21" s="140">
        <v>0</v>
      </c>
      <c r="V21" s="140">
        <v>0</v>
      </c>
      <c r="W21" s="140">
        <v>0</v>
      </c>
      <c r="Z21" s="4" t="str">
        <f>Z4</f>
        <v>LTM EBIT</v>
      </c>
      <c r="AA21" s="20">
        <f>U35</f>
        <v>12.183941573598199</v>
      </c>
      <c r="AB21" s="20">
        <f>AC21-AA21</f>
        <v>6.0461004327504408</v>
      </c>
      <c r="AC21" s="20">
        <f>W35</f>
        <v>18.23004200634864</v>
      </c>
    </row>
    <row r="22" spans="1:29" x14ac:dyDescent="0.25">
      <c r="T22" t="s">
        <v>142</v>
      </c>
      <c r="U22" s="140">
        <f>'3 Financial statements'!$I$42</f>
        <v>239550</v>
      </c>
      <c r="V22" s="140">
        <f>'3 Financial statements'!$I$42</f>
        <v>239550</v>
      </c>
      <c r="W22" s="140">
        <f>'3 Financial statements'!$I$42</f>
        <v>239550</v>
      </c>
      <c r="Z22" s="4" t="str">
        <f>AA4</f>
        <v>LTM Sales</v>
      </c>
      <c r="AA22" s="20">
        <f>U45</f>
        <v>3.0594111410614122</v>
      </c>
      <c r="AB22" s="20">
        <f>AC22-AA22</f>
        <v>7.0592962256747676</v>
      </c>
      <c r="AC22" s="20">
        <f>W45</f>
        <v>10.11870736673618</v>
      </c>
    </row>
    <row r="23" spans="1:29" ht="15.75" thickBot="1" x14ac:dyDescent="0.3">
      <c r="T23" s="124" t="s">
        <v>143</v>
      </c>
      <c r="U23" s="17">
        <f>U19-U20-U21+U22</f>
        <v>895380.05610884377</v>
      </c>
      <c r="V23" s="17">
        <f t="shared" ref="V23:W23" si="10">V19-V20-V21+V22</f>
        <v>1057934.4088508482</v>
      </c>
      <c r="W23" s="17">
        <f t="shared" si="10"/>
        <v>1246291.0398058689</v>
      </c>
    </row>
    <row r="24" spans="1:29" ht="15.75" thickTop="1" x14ac:dyDescent="0.25">
      <c r="U24" s="4"/>
      <c r="V24" s="4"/>
      <c r="W24" s="4"/>
    </row>
    <row r="25" spans="1:29" ht="15.75" thickBot="1" x14ac:dyDescent="0.3">
      <c r="T25" s="128" t="s">
        <v>144</v>
      </c>
      <c r="U25" s="129">
        <f>U23/'DCF model'!$C$62</f>
        <v>8.9538005610884372</v>
      </c>
      <c r="V25" s="129">
        <f>V23/'DCF model'!$C$62</f>
        <v>10.579344088508481</v>
      </c>
      <c r="W25" s="129">
        <f>W23/'DCF model'!$C$62</f>
        <v>12.462910398058689</v>
      </c>
    </row>
    <row r="26" spans="1:29" ht="15.75" thickTop="1" x14ac:dyDescent="0.25"/>
    <row r="27" spans="1:29" x14ac:dyDescent="0.25">
      <c r="U27" s="270" t="str">
        <f>CONCATENATE("Évaluation selon"," ",Z4)</f>
        <v>Évaluation selon LTM EBIT</v>
      </c>
      <c r="V27" s="271"/>
      <c r="W27" s="271"/>
    </row>
    <row r="28" spans="1:29" x14ac:dyDescent="0.25">
      <c r="U28" s="105" t="s">
        <v>137</v>
      </c>
      <c r="V28" s="105" t="s">
        <v>135</v>
      </c>
      <c r="W28" s="105" t="s">
        <v>134</v>
      </c>
    </row>
    <row r="29" spans="1:29" x14ac:dyDescent="0.25">
      <c r="T29" s="2" t="s">
        <v>107</v>
      </c>
      <c r="U29" s="4">
        <f>Z12*S7</f>
        <v>1014515.15735982</v>
      </c>
      <c r="V29" s="4">
        <f>Z15*S7</f>
        <v>1342439.2486276408</v>
      </c>
      <c r="W29" s="4">
        <f>Z14*S7</f>
        <v>1619125.2006348642</v>
      </c>
    </row>
    <row r="30" spans="1:29" x14ac:dyDescent="0.25">
      <c r="T30" s="2" t="s">
        <v>98</v>
      </c>
      <c r="U30" s="4">
        <f>U20</f>
        <v>35671</v>
      </c>
      <c r="V30" s="4">
        <f t="shared" ref="V30:W30" si="11">V20</f>
        <v>35671</v>
      </c>
      <c r="W30" s="4">
        <f t="shared" si="11"/>
        <v>35671</v>
      </c>
    </row>
    <row r="31" spans="1:29" x14ac:dyDescent="0.25">
      <c r="T31" t="s">
        <v>141</v>
      </c>
      <c r="U31" s="4">
        <f t="shared" ref="U31:W31" si="12">U21</f>
        <v>0</v>
      </c>
      <c r="V31" s="4">
        <f t="shared" si="12"/>
        <v>0</v>
      </c>
      <c r="W31" s="4">
        <f t="shared" si="12"/>
        <v>0</v>
      </c>
    </row>
    <row r="32" spans="1:29" x14ac:dyDescent="0.25">
      <c r="T32" t="s">
        <v>142</v>
      </c>
      <c r="U32" s="4">
        <f t="shared" ref="U32:W32" si="13">U22</f>
        <v>239550</v>
      </c>
      <c r="V32" s="4">
        <f t="shared" si="13"/>
        <v>239550</v>
      </c>
      <c r="W32" s="4">
        <f t="shared" si="13"/>
        <v>239550</v>
      </c>
    </row>
    <row r="33" spans="20:23" ht="15.75" thickBot="1" x14ac:dyDescent="0.3">
      <c r="T33" s="124" t="s">
        <v>143</v>
      </c>
      <c r="U33" s="17">
        <f>U29-U30-U31+U32</f>
        <v>1218394.1573598199</v>
      </c>
      <c r="V33" s="17">
        <f t="shared" ref="V33" si="14">V29-V30-V31+V32</f>
        <v>1546318.2486276408</v>
      </c>
      <c r="W33" s="17">
        <f t="shared" ref="W33" si="15">W29-W30-W31+W32</f>
        <v>1823004.2006348642</v>
      </c>
    </row>
    <row r="34" spans="20:23" ht="15.75" thickTop="1" x14ac:dyDescent="0.25">
      <c r="U34" s="4"/>
      <c r="V34" s="4"/>
      <c r="W34" s="4"/>
    </row>
    <row r="35" spans="20:23" ht="15.75" thickBot="1" x14ac:dyDescent="0.3">
      <c r="T35" s="128" t="s">
        <v>144</v>
      </c>
      <c r="U35" s="129">
        <f>U33/'DCF model'!$C$62</f>
        <v>12.183941573598199</v>
      </c>
      <c r="V35" s="129">
        <f>V33/'DCF model'!$C$62</f>
        <v>15.463182486276407</v>
      </c>
      <c r="W35" s="129">
        <f>W33/'DCF model'!$C$62</f>
        <v>18.23004200634864</v>
      </c>
    </row>
    <row r="36" spans="20:23" ht="15.75" thickTop="1" x14ac:dyDescent="0.25"/>
    <row r="37" spans="20:23" x14ac:dyDescent="0.25">
      <c r="U37" s="270" t="str">
        <f>CONCATENATE("Évaluation selon"," ",AA4)</f>
        <v>Évaluation selon LTM Sales</v>
      </c>
      <c r="V37" s="271"/>
      <c r="W37" s="271"/>
    </row>
    <row r="38" spans="20:23" x14ac:dyDescent="0.25">
      <c r="U38" s="105" t="s">
        <v>137</v>
      </c>
      <c r="V38" s="105" t="s">
        <v>135</v>
      </c>
      <c r="W38" s="105" t="s">
        <v>134</v>
      </c>
    </row>
    <row r="39" spans="20:23" x14ac:dyDescent="0.25">
      <c r="T39" s="2" t="s">
        <v>107</v>
      </c>
      <c r="U39" s="4">
        <f>AA12*S8</f>
        <v>102062.11410614122</v>
      </c>
      <c r="V39" s="4">
        <f>AA15*S8</f>
        <v>131830.23072043242</v>
      </c>
      <c r="W39" s="4">
        <f>AB14*S8</f>
        <v>807991.73667361797</v>
      </c>
    </row>
    <row r="40" spans="20:23" x14ac:dyDescent="0.25">
      <c r="T40" s="2" t="s">
        <v>98</v>
      </c>
      <c r="U40" s="4">
        <f>U20</f>
        <v>35671</v>
      </c>
      <c r="V40" s="4">
        <f t="shared" ref="V40:W40" si="16">V20</f>
        <v>35671</v>
      </c>
      <c r="W40" s="4">
        <f t="shared" si="16"/>
        <v>35671</v>
      </c>
    </row>
    <row r="41" spans="20:23" x14ac:dyDescent="0.25">
      <c r="T41" t="s">
        <v>141</v>
      </c>
      <c r="U41" s="4">
        <f t="shared" ref="U41:W41" si="17">U21</f>
        <v>0</v>
      </c>
      <c r="V41" s="4">
        <f t="shared" si="17"/>
        <v>0</v>
      </c>
      <c r="W41" s="4">
        <f t="shared" si="17"/>
        <v>0</v>
      </c>
    </row>
    <row r="42" spans="20:23" x14ac:dyDescent="0.25">
      <c r="T42" t="s">
        <v>142</v>
      </c>
      <c r="U42" s="4">
        <f t="shared" ref="U42:W42" si="18">U22</f>
        <v>239550</v>
      </c>
      <c r="V42" s="4">
        <f t="shared" si="18"/>
        <v>239550</v>
      </c>
      <c r="W42" s="4">
        <f t="shared" si="18"/>
        <v>239550</v>
      </c>
    </row>
    <row r="43" spans="20:23" ht="15.75" thickBot="1" x14ac:dyDescent="0.3">
      <c r="T43" s="124" t="s">
        <v>143</v>
      </c>
      <c r="U43" s="17">
        <f>U39-U40-U41+U42</f>
        <v>305941.11410614121</v>
      </c>
      <c r="V43" s="17">
        <f t="shared" ref="V43" si="19">V39-V40-V41+V42</f>
        <v>335709.23072043242</v>
      </c>
      <c r="W43" s="17">
        <f t="shared" ref="W43" si="20">W39-W40-W41+W42</f>
        <v>1011870.736673618</v>
      </c>
    </row>
    <row r="44" spans="20:23" ht="15.75" thickTop="1" x14ac:dyDescent="0.25">
      <c r="U44" s="4"/>
      <c r="V44" s="4"/>
      <c r="W44" s="4"/>
    </row>
    <row r="45" spans="20:23" ht="15.75" thickBot="1" x14ac:dyDescent="0.3">
      <c r="T45" s="128" t="s">
        <v>144</v>
      </c>
      <c r="U45" s="129">
        <f>U43/'DCF model'!$C$62</f>
        <v>3.0594111410614122</v>
      </c>
      <c r="V45" s="129">
        <f>V43/'DCF model'!$C$62</f>
        <v>3.3570923072043244</v>
      </c>
      <c r="W45" s="129">
        <f>W43/'DCF model'!$C$62</f>
        <v>10.11870736673618</v>
      </c>
    </row>
    <row r="46" spans="20:23" ht="15.75" thickTop="1" x14ac:dyDescent="0.25"/>
  </sheetData>
  <mergeCells count="17">
    <mergeCell ref="A1:L1"/>
    <mergeCell ref="E3:G3"/>
    <mergeCell ref="I3:J3"/>
    <mergeCell ref="L3:L4"/>
    <mergeCell ref="U1:AF1"/>
    <mergeCell ref="Y3:AA3"/>
    <mergeCell ref="AC3:AD3"/>
    <mergeCell ref="AF3:AF4"/>
    <mergeCell ref="N9:P9"/>
    <mergeCell ref="R5:S5"/>
    <mergeCell ref="U17:W17"/>
    <mergeCell ref="U27:W27"/>
    <mergeCell ref="U37:W37"/>
    <mergeCell ref="N5:P5"/>
    <mergeCell ref="N6:P6"/>
    <mergeCell ref="N7:P7"/>
    <mergeCell ref="N8:P8"/>
  </mergeCells>
  <pageMargins left="0.7" right="0.7" top="0.75" bottom="0.75" header="0.3" footer="0.3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B26B4A5-A6F3-4639-9FE5-0CC17E7D0FBD}">
  <dimension ref="A1:K19"/>
  <sheetViews>
    <sheetView topLeftCell="A21" workbookViewId="0">
      <selection activeCell="J41" sqref="J41"/>
    </sheetView>
  </sheetViews>
  <sheetFormatPr baseColWidth="10" defaultColWidth="10.85546875" defaultRowHeight="15" x14ac:dyDescent="0.25"/>
  <cols>
    <col min="1" max="1" width="17.85546875" style="4" bestFit="1" customWidth="1"/>
    <col min="2" max="7" width="10.85546875" style="4"/>
    <col min="8" max="8" width="20.42578125" style="4" bestFit="1" customWidth="1"/>
    <col min="9" max="16384" width="10.85546875" style="4"/>
  </cols>
  <sheetData>
    <row r="1" spans="1:11" ht="20.45" customHeight="1" x14ac:dyDescent="0.25">
      <c r="A1" s="136" t="s">
        <v>148</v>
      </c>
      <c r="B1" s="294" t="s">
        <v>149</v>
      </c>
      <c r="C1" s="294"/>
      <c r="D1" s="293" t="s">
        <v>150</v>
      </c>
      <c r="E1" s="293"/>
    </row>
    <row r="2" spans="1:11" x14ac:dyDescent="0.25">
      <c r="A2" s="18"/>
      <c r="B2" s="19" t="s">
        <v>145</v>
      </c>
      <c r="C2" s="19" t="s">
        <v>146</v>
      </c>
      <c r="D2" s="18" t="s">
        <v>145</v>
      </c>
      <c r="E2" s="18" t="s">
        <v>146</v>
      </c>
    </row>
    <row r="3" spans="1:11" x14ac:dyDescent="0.25">
      <c r="A3" s="4" t="s">
        <v>151</v>
      </c>
      <c r="B3" s="70">
        <v>9</v>
      </c>
      <c r="C3" s="70">
        <v>10</v>
      </c>
      <c r="D3" s="18">
        <v>1600000</v>
      </c>
      <c r="E3" s="18">
        <v>1800000</v>
      </c>
      <c r="H3"/>
      <c r="I3" s="270" t="s">
        <v>154</v>
      </c>
      <c r="J3" s="271"/>
      <c r="K3" s="271"/>
    </row>
    <row r="4" spans="1:11" x14ac:dyDescent="0.25">
      <c r="A4" s="4" t="s">
        <v>152</v>
      </c>
      <c r="B4" s="70">
        <v>10</v>
      </c>
      <c r="C4" s="70">
        <v>11</v>
      </c>
      <c r="D4" s="4">
        <v>1800000</v>
      </c>
      <c r="E4" s="4">
        <v>1900000</v>
      </c>
      <c r="H4"/>
      <c r="I4" s="105" t="s">
        <v>137</v>
      </c>
      <c r="J4" s="105" t="s">
        <v>135</v>
      </c>
      <c r="K4" s="105" t="s">
        <v>134</v>
      </c>
    </row>
    <row r="5" spans="1:11" x14ac:dyDescent="0.25">
      <c r="A5" s="4" t="s">
        <v>153</v>
      </c>
      <c r="B5" s="70">
        <v>8</v>
      </c>
      <c r="C5" s="70">
        <v>10.5</v>
      </c>
      <c r="D5" s="4">
        <v>1400000</v>
      </c>
      <c r="E5" s="4">
        <v>1800000</v>
      </c>
      <c r="H5" s="2" t="s">
        <v>107</v>
      </c>
      <c r="I5" s="4">
        <f>D9</f>
        <v>1100000</v>
      </c>
      <c r="J5" s="4">
        <f>AVERAGE(D10:E10)</f>
        <v>1560000</v>
      </c>
      <c r="K5" s="4">
        <f>E11</f>
        <v>1900000</v>
      </c>
    </row>
    <row r="6" spans="1:11" x14ac:dyDescent="0.25">
      <c r="A6" s="4" t="s">
        <v>156</v>
      </c>
      <c r="B6" s="70">
        <v>6.5</v>
      </c>
      <c r="C6" s="70">
        <v>8</v>
      </c>
      <c r="D6" s="4">
        <v>1100000</v>
      </c>
      <c r="E6" s="4">
        <v>1400000</v>
      </c>
      <c r="H6" s="2" t="s">
        <v>98</v>
      </c>
      <c r="I6" s="4">
        <f>'Comparable trans.'!U20</f>
        <v>35671</v>
      </c>
      <c r="J6" s="4">
        <f>'Comparable trans.'!V20</f>
        <v>35671</v>
      </c>
      <c r="K6" s="4">
        <f>'Comparable trans.'!W20</f>
        <v>35671</v>
      </c>
    </row>
    <row r="7" spans="1:11" x14ac:dyDescent="0.25">
      <c r="A7" s="4" t="s">
        <v>157</v>
      </c>
      <c r="B7" s="70">
        <v>7.5</v>
      </c>
      <c r="C7" s="70">
        <v>8.5</v>
      </c>
      <c r="D7" s="4">
        <v>1300000</v>
      </c>
      <c r="E7" s="4">
        <v>1500000</v>
      </c>
      <c r="H7" t="s">
        <v>141</v>
      </c>
      <c r="I7" s="4">
        <f>'Comparable trans.'!U21</f>
        <v>0</v>
      </c>
      <c r="J7" s="4">
        <f>'Comparable trans.'!V21</f>
        <v>0</v>
      </c>
      <c r="K7" s="4">
        <f>'Comparable trans.'!W21</f>
        <v>0</v>
      </c>
    </row>
    <row r="8" spans="1:11" x14ac:dyDescent="0.25">
      <c r="B8" s="70"/>
      <c r="C8" s="70"/>
      <c r="H8" t="s">
        <v>142</v>
      </c>
      <c r="I8" s="4">
        <f>'Comparable trans.'!U22</f>
        <v>239550</v>
      </c>
      <c r="J8" s="4">
        <f>'Comparable trans.'!V22</f>
        <v>239550</v>
      </c>
      <c r="K8" s="4">
        <f>'Comparable trans.'!W22</f>
        <v>239550</v>
      </c>
    </row>
    <row r="9" spans="1:11" ht="15.75" thickBot="1" x14ac:dyDescent="0.3">
      <c r="A9" s="18" t="s">
        <v>137</v>
      </c>
      <c r="B9" s="134">
        <f>MIN(B3:B8)</f>
        <v>6.5</v>
      </c>
      <c r="C9" s="130">
        <f t="shared" ref="C9:E9" si="0">MIN(C3:C8)</f>
        <v>8</v>
      </c>
      <c r="D9" s="6">
        <f t="shared" si="0"/>
        <v>1100000</v>
      </c>
      <c r="E9" s="18">
        <f t="shared" si="0"/>
        <v>1400000</v>
      </c>
      <c r="H9" s="124" t="s">
        <v>143</v>
      </c>
      <c r="I9" s="17">
        <f>I5-I6-I7+I8</f>
        <v>1303879</v>
      </c>
      <c r="J9" s="17">
        <f>J5-J6-J7+J8</f>
        <v>1763879</v>
      </c>
      <c r="K9" s="17">
        <f t="shared" ref="K9" si="1">K5-K6-K7+K8</f>
        <v>2103879</v>
      </c>
    </row>
    <row r="10" spans="1:11" ht="15.75" thickTop="1" x14ac:dyDescent="0.25">
      <c r="A10" s="4" t="s">
        <v>135</v>
      </c>
      <c r="B10" s="70">
        <f>AVERAGE(B3:B8)</f>
        <v>8.1999999999999993</v>
      </c>
      <c r="C10" s="70">
        <f t="shared" ref="C10:E10" si="2">AVERAGE(C3:C8)</f>
        <v>9.6</v>
      </c>
      <c r="D10" s="4">
        <f t="shared" si="2"/>
        <v>1440000</v>
      </c>
      <c r="E10" s="4">
        <f t="shared" si="2"/>
        <v>1680000</v>
      </c>
      <c r="H10"/>
    </row>
    <row r="11" spans="1:11" ht="15.75" thickBot="1" x14ac:dyDescent="0.3">
      <c r="A11" s="131" t="s">
        <v>134</v>
      </c>
      <c r="B11" s="132">
        <f>MAX(B3:B8)</f>
        <v>10</v>
      </c>
      <c r="C11" s="135">
        <f t="shared" ref="C11:E11" si="3">MAX(C3:C8)</f>
        <v>11</v>
      </c>
      <c r="D11" s="131">
        <f t="shared" si="3"/>
        <v>1800000</v>
      </c>
      <c r="E11" s="133">
        <f t="shared" si="3"/>
        <v>1900000</v>
      </c>
      <c r="H11" s="128" t="s">
        <v>144</v>
      </c>
      <c r="I11" s="129">
        <f>I9/'DCF model'!$C$62</f>
        <v>13.038790000000001</v>
      </c>
      <c r="J11" s="129">
        <f>J9/'DCF model'!$C$62</f>
        <v>17.63879</v>
      </c>
      <c r="K11" s="129">
        <f>K9/'DCF model'!$C$62</f>
        <v>21.038789999999999</v>
      </c>
    </row>
    <row r="12" spans="1:11" ht="15.75" thickTop="1" x14ac:dyDescent="0.25"/>
    <row r="13" spans="1:11" x14ac:dyDescent="0.25">
      <c r="B13" s="4" t="s">
        <v>145</v>
      </c>
      <c r="C13" s="4" t="s">
        <v>155</v>
      </c>
      <c r="D13" s="4" t="s">
        <v>146</v>
      </c>
      <c r="K13" s="20"/>
    </row>
    <row r="14" spans="1:11" x14ac:dyDescent="0.25">
      <c r="A14" s="10" t="s">
        <v>158</v>
      </c>
      <c r="B14" s="20">
        <f>I11</f>
        <v>13.038790000000001</v>
      </c>
      <c r="C14" s="20">
        <f>D14-B14</f>
        <v>7.9999999999999982</v>
      </c>
      <c r="D14" s="20">
        <f>K11</f>
        <v>21.038789999999999</v>
      </c>
    </row>
    <row r="15" spans="1:11" x14ac:dyDescent="0.25">
      <c r="A15" s="4" t="str">
        <f>A3</f>
        <v>BMO</v>
      </c>
      <c r="B15" s="20">
        <f>(D3-$I$6-$I$7+$I$8)/'DCF model'!$C$62</f>
        <v>18.038789999999999</v>
      </c>
      <c r="C15" s="4">
        <f>D15-B15</f>
        <v>2</v>
      </c>
      <c r="D15" s="20">
        <f>(E3-$I$6-$I$7+$I$8)/'DCF model'!$C$62</f>
        <v>20.038789999999999</v>
      </c>
    </row>
    <row r="16" spans="1:11" x14ac:dyDescent="0.25">
      <c r="A16" s="4" t="str">
        <f>A4</f>
        <v>CIBC</v>
      </c>
      <c r="B16" s="20">
        <f>(D4-$I$6-$I$7+$I$8)/'DCF model'!$C$62</f>
        <v>20.038789999999999</v>
      </c>
      <c r="C16" s="4">
        <f t="shared" ref="C16:C19" si="4">D16-B16</f>
        <v>1</v>
      </c>
      <c r="D16" s="20">
        <f>(E4-$I$6-$I$7+$I$8)/'DCF model'!$C$62</f>
        <v>21.038789999999999</v>
      </c>
    </row>
    <row r="17" spans="1:4" x14ac:dyDescent="0.25">
      <c r="A17" s="4" t="str">
        <f>A5</f>
        <v>National Bank</v>
      </c>
      <c r="B17" s="20">
        <f>(D5-$I$6-$I$7+$I$8)/'DCF model'!$C$62</f>
        <v>16.038789999999999</v>
      </c>
      <c r="C17" s="4">
        <f t="shared" si="4"/>
        <v>4</v>
      </c>
      <c r="D17" s="20">
        <f>(E5-$I$6-$I$7+$I$8)/'DCF model'!$C$62</f>
        <v>20.038789999999999</v>
      </c>
    </row>
    <row r="18" spans="1:4" x14ac:dyDescent="0.25">
      <c r="A18" s="4" t="str">
        <f>A6</f>
        <v>Desjardins</v>
      </c>
      <c r="B18" s="20">
        <f>(D6-$I$6-$I$7+$I$8)/'DCF model'!$C$62</f>
        <v>13.038790000000001</v>
      </c>
      <c r="C18" s="4">
        <f t="shared" si="4"/>
        <v>2.9999999999999982</v>
      </c>
      <c r="D18" s="20">
        <f>(E6-$I$6-$I$7+$I$8)/'DCF model'!$C$62</f>
        <v>16.038789999999999</v>
      </c>
    </row>
    <row r="19" spans="1:4" x14ac:dyDescent="0.25">
      <c r="A19" s="4" t="str">
        <f>A7</f>
        <v>TD Bank</v>
      </c>
      <c r="B19" s="20">
        <f>(D7-$I$6-$I$7+$I$8)/'DCF model'!$C$62</f>
        <v>15.038790000000001</v>
      </c>
      <c r="C19" s="4">
        <f t="shared" si="4"/>
        <v>1.9999999999999982</v>
      </c>
      <c r="D19" s="20">
        <f>(E7-$I$6-$I$7+$I$8)/'DCF model'!$C$62</f>
        <v>17.038789999999999</v>
      </c>
    </row>
  </sheetData>
  <mergeCells count="3">
    <mergeCell ref="D1:E1"/>
    <mergeCell ref="B1:C1"/>
    <mergeCell ref="I3:K3"/>
  </mergeCells>
  <pageMargins left="0.7" right="0.7" top="0.75" bottom="0.75" header="0.3" footer="0.3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BAA8053-281F-4D5D-B121-AEAAD197758F}">
  <dimension ref="A1:I19"/>
  <sheetViews>
    <sheetView workbookViewId="0">
      <selection activeCell="M16" sqref="M16"/>
    </sheetView>
  </sheetViews>
  <sheetFormatPr baseColWidth="10" defaultRowHeight="15" x14ac:dyDescent="0.25"/>
  <cols>
    <col min="1" max="1" width="12" bestFit="1" customWidth="1"/>
    <col min="2" max="2" width="12" customWidth="1"/>
    <col min="3" max="4" width="11.28515625" bestFit="1" customWidth="1"/>
    <col min="6" max="6" width="2" customWidth="1"/>
    <col min="7" max="9" width="15.5703125" customWidth="1"/>
  </cols>
  <sheetData>
    <row r="1" spans="1:9" ht="15.75" thickBot="1" x14ac:dyDescent="0.3">
      <c r="C1" s="295" t="s">
        <v>176</v>
      </c>
      <c r="D1" s="295"/>
      <c r="E1" s="295"/>
      <c r="F1" s="295"/>
      <c r="G1" s="295"/>
      <c r="H1" s="295"/>
      <c r="I1" s="295"/>
    </row>
    <row r="2" spans="1:9" ht="30.6" customHeight="1" thickBot="1" x14ac:dyDescent="0.3">
      <c r="B2" s="205" t="s">
        <v>184</v>
      </c>
      <c r="C2" s="202" t="s">
        <v>145</v>
      </c>
      <c r="D2" s="213" t="s">
        <v>135</v>
      </c>
      <c r="E2" s="202" t="s">
        <v>146</v>
      </c>
      <c r="G2" s="109" t="s">
        <v>186</v>
      </c>
      <c r="H2" s="109" t="s">
        <v>185</v>
      </c>
      <c r="I2" s="109" t="s">
        <v>187</v>
      </c>
    </row>
    <row r="3" spans="1:9" x14ac:dyDescent="0.25">
      <c r="A3" t="s">
        <v>183</v>
      </c>
      <c r="B3" s="206">
        <v>0.3</v>
      </c>
      <c r="C3" s="203">
        <f>'DCF model'!W89</f>
        <v>7.8526725390168011</v>
      </c>
      <c r="D3" s="214">
        <f>'DCF model'!Y87</f>
        <v>8.6015186533822465</v>
      </c>
      <c r="E3" s="203">
        <f>'DCF model'!AA85</f>
        <v>9.4543512306493334</v>
      </c>
      <c r="G3" s="210">
        <f>B3*C3</f>
        <v>2.3558017617050404</v>
      </c>
      <c r="H3" s="210">
        <f>$B3*D3</f>
        <v>2.5804555960146738</v>
      </c>
      <c r="I3" s="210">
        <f>$B3*E3</f>
        <v>2.8363053691947999</v>
      </c>
    </row>
    <row r="4" spans="1:9" x14ac:dyDescent="0.25">
      <c r="A4" t="s">
        <v>154</v>
      </c>
      <c r="B4" s="206">
        <v>0.25</v>
      </c>
      <c r="C4" s="203">
        <f>'Analyst views'!B14</f>
        <v>13.038790000000001</v>
      </c>
      <c r="D4" s="214">
        <f>'Analyst views'!J11</f>
        <v>17.63879</v>
      </c>
      <c r="E4" s="203">
        <f>'Analyst views'!D14</f>
        <v>21.038789999999999</v>
      </c>
      <c r="G4" s="211">
        <f t="shared" ref="G4:G7" si="0">B4*C4</f>
        <v>3.2596975000000001</v>
      </c>
      <c r="H4" s="211">
        <f t="shared" ref="H4:H7" si="1">$B4*D4</f>
        <v>4.4096975</v>
      </c>
      <c r="I4" s="211">
        <f t="shared" ref="I4:I7" si="2">$B4*E4</f>
        <v>5.2596974999999997</v>
      </c>
    </row>
    <row r="5" spans="1:9" x14ac:dyDescent="0.25">
      <c r="A5" t="str">
        <f>'Comparable trans.'!Y4</f>
        <v>LTM EBITDA</v>
      </c>
      <c r="B5" s="206">
        <v>0.15</v>
      </c>
      <c r="C5" s="203">
        <f>'Comparable trans.'!U25</f>
        <v>8.9538005610884372</v>
      </c>
      <c r="D5" s="214">
        <f>'Comparable trans.'!V25</f>
        <v>10.579344088508481</v>
      </c>
      <c r="E5" s="203">
        <f>'Comparable trans.'!W25</f>
        <v>12.462910398058689</v>
      </c>
      <c r="G5" s="211">
        <f t="shared" si="0"/>
        <v>1.3430700841632655</v>
      </c>
      <c r="H5" s="211">
        <f t="shared" si="1"/>
        <v>1.5869016132762721</v>
      </c>
      <c r="I5" s="211">
        <f t="shared" si="2"/>
        <v>1.8694365597088032</v>
      </c>
    </row>
    <row r="6" spans="1:9" x14ac:dyDescent="0.25">
      <c r="A6" t="str">
        <f>'Comparable trans.'!Z4</f>
        <v>LTM EBIT</v>
      </c>
      <c r="B6" s="206">
        <v>0.15</v>
      </c>
      <c r="C6" s="203">
        <f>'Comparable trans.'!U35</f>
        <v>12.183941573598199</v>
      </c>
      <c r="D6" s="214">
        <f>'Comparable trans.'!V35</f>
        <v>15.463182486276407</v>
      </c>
      <c r="E6" s="203">
        <f>'Comparable trans.'!W35</f>
        <v>18.23004200634864</v>
      </c>
      <c r="G6" s="211">
        <f t="shared" si="0"/>
        <v>1.8275912360397297</v>
      </c>
      <c r="H6" s="211">
        <f t="shared" si="1"/>
        <v>2.3194773729414608</v>
      </c>
      <c r="I6" s="211">
        <f t="shared" si="2"/>
        <v>2.7345063009522961</v>
      </c>
    </row>
    <row r="7" spans="1:9" ht="15.75" thickBot="1" x14ac:dyDescent="0.3">
      <c r="A7" t="str">
        <f>'Comparable trans.'!AA4</f>
        <v>LTM Sales</v>
      </c>
      <c r="B7" s="206">
        <v>0.15</v>
      </c>
      <c r="C7" s="203">
        <f>'Comparable trans.'!U45</f>
        <v>3.0594111410614122</v>
      </c>
      <c r="D7" s="214">
        <f>'Comparable trans.'!V45</f>
        <v>3.3570923072043244</v>
      </c>
      <c r="E7" s="203">
        <f>'Comparable trans.'!W45</f>
        <v>10.11870736673618</v>
      </c>
      <c r="G7" s="212">
        <f t="shared" si="0"/>
        <v>0.45891167115921183</v>
      </c>
      <c r="H7" s="212">
        <f t="shared" si="1"/>
        <v>0.50356384608064864</v>
      </c>
      <c r="I7" s="212">
        <f t="shared" si="2"/>
        <v>1.517806105010427</v>
      </c>
    </row>
    <row r="8" spans="1:9" ht="15.75" thickBot="1" x14ac:dyDescent="0.3">
      <c r="A8" s="61"/>
      <c r="B8" s="207">
        <f>SUM(B3:B7)</f>
        <v>1</v>
      </c>
      <c r="C8" s="3"/>
      <c r="D8" s="209"/>
      <c r="E8" s="3"/>
      <c r="G8" s="208">
        <f>SUM(G3:G7)</f>
        <v>9.2450722530672476</v>
      </c>
      <c r="H8" s="208">
        <f>SUM(H3:H7)</f>
        <v>11.400095928313057</v>
      </c>
      <c r="I8" s="208">
        <f>SUM(I3:I7)</f>
        <v>14.217751834866327</v>
      </c>
    </row>
    <row r="9" spans="1:9" x14ac:dyDescent="0.25">
      <c r="C9" s="3"/>
      <c r="D9" s="3"/>
      <c r="E9" s="3"/>
    </row>
    <row r="10" spans="1:9" x14ac:dyDescent="0.25">
      <c r="C10" s="3"/>
      <c r="D10" s="3"/>
      <c r="E10" s="3"/>
    </row>
    <row r="11" spans="1:9" x14ac:dyDescent="0.25">
      <c r="C11" s="3"/>
      <c r="D11" s="3"/>
      <c r="E11" s="3"/>
    </row>
    <row r="12" spans="1:9" x14ac:dyDescent="0.25">
      <c r="C12" s="3"/>
      <c r="D12" s="3"/>
      <c r="E12" s="3"/>
    </row>
    <row r="13" spans="1:9" x14ac:dyDescent="0.25">
      <c r="B13" t="str">
        <f t="shared" ref="B13:D18" si="3">C2</f>
        <v>Min</v>
      </c>
      <c r="C13" s="3" t="s">
        <v>147</v>
      </c>
      <c r="D13" s="3" t="str">
        <f t="shared" si="3"/>
        <v>Max</v>
      </c>
      <c r="E13" s="3"/>
    </row>
    <row r="14" spans="1:9" x14ac:dyDescent="0.25">
      <c r="A14" t="str">
        <f t="shared" ref="A14:A18" si="4">A3</f>
        <v>DCF analysis</v>
      </c>
      <c r="B14" s="204">
        <f t="shared" si="3"/>
        <v>7.8526725390168011</v>
      </c>
      <c r="C14" s="204">
        <f>D14-B14</f>
        <v>1.6016786916325323</v>
      </c>
      <c r="D14" s="204">
        <f t="shared" si="3"/>
        <v>9.4543512306493334</v>
      </c>
      <c r="E14" s="3"/>
    </row>
    <row r="15" spans="1:9" x14ac:dyDescent="0.25">
      <c r="A15" t="str">
        <f t="shared" si="4"/>
        <v>Analyst views</v>
      </c>
      <c r="B15" s="204">
        <f t="shared" si="3"/>
        <v>13.038790000000001</v>
      </c>
      <c r="C15" s="204">
        <f t="shared" ref="C15:C19" si="5">D15-B15</f>
        <v>7.9999999999999982</v>
      </c>
      <c r="D15" s="204">
        <f t="shared" si="3"/>
        <v>21.038789999999999</v>
      </c>
      <c r="E15" s="3"/>
    </row>
    <row r="16" spans="1:9" x14ac:dyDescent="0.25">
      <c r="A16" t="str">
        <f t="shared" si="4"/>
        <v>LTM EBITDA</v>
      </c>
      <c r="B16" s="204">
        <f t="shared" si="3"/>
        <v>8.9538005610884372</v>
      </c>
      <c r="C16" s="204">
        <f t="shared" si="5"/>
        <v>3.5091098369702518</v>
      </c>
      <c r="D16" s="204">
        <f t="shared" si="3"/>
        <v>12.462910398058689</v>
      </c>
    </row>
    <row r="17" spans="1:4" x14ac:dyDescent="0.25">
      <c r="A17" t="str">
        <f t="shared" si="4"/>
        <v>LTM EBIT</v>
      </c>
      <c r="B17" s="204">
        <f t="shared" si="3"/>
        <v>12.183941573598199</v>
      </c>
      <c r="C17" s="204">
        <f t="shared" si="5"/>
        <v>6.0461004327504408</v>
      </c>
      <c r="D17" s="204">
        <f t="shared" si="3"/>
        <v>18.23004200634864</v>
      </c>
    </row>
    <row r="18" spans="1:4" x14ac:dyDescent="0.25">
      <c r="A18" t="str">
        <f t="shared" si="4"/>
        <v>LTM Sales</v>
      </c>
      <c r="B18" s="204">
        <f t="shared" si="3"/>
        <v>3.0594111410614122</v>
      </c>
      <c r="C18" s="204">
        <f t="shared" si="5"/>
        <v>7.0592962256747676</v>
      </c>
      <c r="D18" s="204">
        <f t="shared" si="3"/>
        <v>10.11870736673618</v>
      </c>
    </row>
    <row r="19" spans="1:4" x14ac:dyDescent="0.25">
      <c r="A19" t="s">
        <v>188</v>
      </c>
      <c r="B19" s="203">
        <f>G8</f>
        <v>9.2450722530672476</v>
      </c>
      <c r="C19" s="204">
        <f t="shared" si="5"/>
        <v>4.9726795817990794</v>
      </c>
      <c r="D19" s="203">
        <f>I8</f>
        <v>14.217751834866327</v>
      </c>
    </row>
  </sheetData>
  <mergeCells count="1">
    <mergeCell ref="C1:I1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9</vt:i4>
      </vt:variant>
    </vt:vector>
  </HeadingPairs>
  <TitlesOfParts>
    <vt:vector size="9" baseType="lpstr">
      <vt:lpstr>3 Financial statements</vt:lpstr>
      <vt:lpstr>Ratio</vt:lpstr>
      <vt:lpstr>WACC</vt:lpstr>
      <vt:lpstr>DCF model</vt:lpstr>
      <vt:lpstr>DCF model (Sans EF préc.)</vt:lpstr>
      <vt:lpstr>Debt (Sans EF préc.)</vt:lpstr>
      <vt:lpstr>Comparable trans.</vt:lpstr>
      <vt:lpstr>Analyst views</vt:lpstr>
      <vt:lpstr>Sommaire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buffa</dc:creator>
  <cp:lastModifiedBy>Utilisateur</cp:lastModifiedBy>
  <dcterms:created xsi:type="dcterms:W3CDTF">2018-12-27T00:17:22Z</dcterms:created>
  <dcterms:modified xsi:type="dcterms:W3CDTF">2019-01-20T03:55:04Z</dcterms:modified>
</cp:coreProperties>
</file>